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LIPSE" sheetId="1" r:id="rId4"/>
    <sheet state="visible" name="TERROR" sheetId="2" r:id="rId5"/>
    <sheet state="visible" name="COMMAS" sheetId="3" r:id="rId6"/>
    <sheet state="visible" name="DRIFTS" sheetId="4" r:id="rId7"/>
    <sheet state="visible" name="FANGS" sheetId="5" r:id="rId8"/>
    <sheet state="visible" name="LOAVES" sheetId="6" r:id="rId9"/>
    <sheet state="visible" name="ROUGHLINE" sheetId="7" r:id="rId10"/>
    <sheet state="visible" name="SMOOTHLINE" sheetId="8" r:id="rId11"/>
    <sheet state="visible" name="Fiber DT COMMAS" sheetId="9" r:id="rId12"/>
    <sheet state="visible" name="Fiber Full text" sheetId="10" r:id="rId13"/>
    <sheet state="visible" name="TOTALS" sheetId="11" r:id="rId14"/>
  </sheets>
  <definedNames/>
  <calcPr/>
  <extLst>
    <ext uri="GoogleSheetsCustomDataVersion2">
      <go:sheetsCustomData xmlns:go="http://customooxmlschemas.google.com/" r:id="rId15" roundtripDataChecksum="YZxEPHOihCd3A2H1ggcb3fd9ddfrJqmQUTCOexag7zg="/>
    </ext>
  </extLst>
</workbook>
</file>

<file path=xl/sharedStrings.xml><?xml version="1.0" encoding="utf-8"?>
<sst xmlns="http://schemas.openxmlformats.org/spreadsheetml/2006/main" count="854" uniqueCount="648">
  <si>
    <t>ECLIPSE</t>
  </si>
  <si>
    <t>RAL 1023</t>
  </si>
  <si>
    <t>RAL 3020</t>
  </si>
  <si>
    <t>RAL 5015</t>
  </si>
  <si>
    <t>RAL 9005</t>
  </si>
  <si>
    <t>RAL 2005</t>
  </si>
  <si>
    <t>PAN 802C</t>
  </si>
  <si>
    <t>PAN 806C</t>
  </si>
  <si>
    <t>RAL 4008</t>
  </si>
  <si>
    <t>RAL 6018</t>
  </si>
  <si>
    <t>US 14-01</t>
  </si>
  <si>
    <t>US 16-16</t>
  </si>
  <si>
    <t>RAL 9010</t>
  </si>
  <si>
    <t>PAN 267U</t>
  </si>
  <si>
    <t>NAME</t>
  </si>
  <si>
    <t>PHOTO</t>
  </si>
  <si>
    <t>SET SIZE</t>
  </si>
  <si>
    <t>SKU</t>
  </si>
  <si>
    <t>PRICE</t>
  </si>
  <si>
    <t>SETS</t>
  </si>
  <si>
    <t>HOLDS</t>
  </si>
  <si>
    <t>WEIGHT</t>
  </si>
  <si>
    <t>TOTAL ex TAX</t>
  </si>
  <si>
    <r>
      <rPr>
        <rFont val="Calibri"/>
        <b/>
        <color theme="1"/>
        <sz val="13.0"/>
      </rPr>
      <t xml:space="preserve">SET A        </t>
    </r>
    <r>
      <rPr>
        <rFont val="Calibri"/>
        <b/>
        <color theme="1"/>
        <sz val="11.0"/>
      </rPr>
      <t xml:space="preserve">MIXED EDGES </t>
    </r>
  </si>
  <si>
    <t>UBE 01</t>
  </si>
  <si>
    <t>EDGES</t>
  </si>
  <si>
    <t>UBE 02</t>
  </si>
  <si>
    <r>
      <rPr>
        <rFont val="Calibri"/>
        <b/>
        <color theme="1"/>
        <sz val="13.0"/>
      </rPr>
      <t>SET B</t>
    </r>
    <r>
      <rPr>
        <rFont val="Calibri"/>
        <b/>
        <color theme="1"/>
        <sz val="11.0"/>
      </rPr>
      <t xml:space="preserve">         MIXED DEEP INCUT AND SLOPERS</t>
    </r>
  </si>
  <si>
    <t>UBE 05</t>
  </si>
  <si>
    <r>
      <rPr>
        <rFont val="Calibri"/>
        <b/>
        <color theme="1"/>
        <sz val="14.0"/>
      </rPr>
      <t xml:space="preserve">SET C     </t>
    </r>
    <r>
      <rPr>
        <rFont val="Calibri"/>
        <b/>
        <color theme="1"/>
        <sz val="11.0"/>
      </rPr>
      <t xml:space="preserve"> MIXED DEEP INCUT AND SLOPERS</t>
    </r>
  </si>
  <si>
    <t>UBE 10</t>
  </si>
  <si>
    <r>
      <rPr>
        <rFont val="Calibri"/>
        <b/>
        <color theme="1"/>
        <sz val="14.0"/>
      </rPr>
      <t xml:space="preserve">SET D     </t>
    </r>
    <r>
      <rPr>
        <rFont val="Calibri"/>
        <b/>
        <color theme="1"/>
        <sz val="11.0"/>
      </rPr>
      <t xml:space="preserve"> MIXED DEEP INCUT AND SLOPERS</t>
    </r>
  </si>
  <si>
    <t>UBE 15</t>
  </si>
  <si>
    <r>
      <rPr>
        <rFont val="Calibri"/>
        <b/>
        <color theme="1"/>
        <sz val="14.0"/>
      </rPr>
      <t xml:space="preserve">SET E     </t>
    </r>
    <r>
      <rPr>
        <rFont val="Calibri"/>
        <b/>
        <color theme="1"/>
        <sz val="11.0"/>
      </rPr>
      <t xml:space="preserve"> MIXED DEEP INCUTS AND SLOPERS</t>
    </r>
  </si>
  <si>
    <t>UBE 20</t>
  </si>
  <si>
    <r>
      <rPr>
        <rFont val="Calibri"/>
        <b/>
        <color theme="1"/>
        <sz val="14.0"/>
      </rPr>
      <t xml:space="preserve">JUGS                </t>
    </r>
    <r>
      <rPr>
        <rFont val="Calibri"/>
        <b/>
        <color theme="1"/>
        <sz val="11.0"/>
      </rPr>
      <t xml:space="preserve">SET A  </t>
    </r>
  </si>
  <si>
    <t>UBE 21</t>
  </si>
  <si>
    <r>
      <rPr>
        <rFont val="Calibri"/>
        <b/>
        <color theme="1"/>
        <sz val="14.0"/>
      </rPr>
      <t xml:space="preserve">JUGS                </t>
    </r>
    <r>
      <rPr>
        <rFont val="Calibri"/>
        <b/>
        <color theme="1"/>
        <sz val="11.0"/>
      </rPr>
      <t>SET B</t>
    </r>
  </si>
  <si>
    <t>UBE 22</t>
  </si>
  <si>
    <r>
      <rPr>
        <rFont val="Calibri"/>
        <b/>
        <color theme="1"/>
        <sz val="14.0"/>
      </rPr>
      <t xml:space="preserve">JUGS             </t>
    </r>
    <r>
      <rPr>
        <rFont val="Calibri"/>
        <b/>
        <color theme="1"/>
        <sz val="11.0"/>
      </rPr>
      <t xml:space="preserve"> SET C</t>
    </r>
  </si>
  <si>
    <t>UBE 23</t>
  </si>
  <si>
    <r>
      <rPr>
        <rFont val="Calibri"/>
        <b/>
        <color theme="1"/>
        <sz val="15.0"/>
      </rPr>
      <t xml:space="preserve">JUGS           </t>
    </r>
    <r>
      <rPr>
        <rFont val="Calibri"/>
        <b/>
        <color theme="1"/>
        <sz val="11.0"/>
      </rPr>
      <t xml:space="preserve"> SET D</t>
    </r>
  </si>
  <si>
    <t>UBE 24</t>
  </si>
  <si>
    <t>SMALL EDGE 1</t>
  </si>
  <si>
    <t>UBE 74</t>
  </si>
  <si>
    <t>SMALL EDGE 2</t>
  </si>
  <si>
    <t>UBE 75</t>
  </si>
  <si>
    <t>XXS FEET 1</t>
  </si>
  <si>
    <t>UBE 85</t>
  </si>
  <si>
    <t>XXS FEET 2</t>
  </si>
  <si>
    <t xml:space="preserve">UBE 86 </t>
  </si>
  <si>
    <t>XS FEET 1</t>
  </si>
  <si>
    <t>UBE 77</t>
  </si>
  <si>
    <t>XS FEET 2</t>
  </si>
  <si>
    <t>UBE 78</t>
  </si>
  <si>
    <t>MINI JUG   STEEP FEET</t>
  </si>
  <si>
    <t>UBE 84</t>
  </si>
  <si>
    <t>SMALL FEET 1</t>
  </si>
  <si>
    <t>UBE 76</t>
  </si>
  <si>
    <t>SMALL FEET 2</t>
  </si>
  <si>
    <t>UBE 79</t>
  </si>
  <si>
    <t>SMALL DEEP FEET</t>
  </si>
  <si>
    <t>UBE 80</t>
  </si>
  <si>
    <t>BLOCKERS (MIXED EDGES)</t>
  </si>
  <si>
    <t>SET A1 FOR BLOCKING SET A ECLIPSE</t>
  </si>
  <si>
    <t>UBE 25</t>
  </si>
  <si>
    <t>SET A2 FOR BLOCKING SET A ECLIPSE</t>
  </si>
  <si>
    <t>UBE 30</t>
  </si>
  <si>
    <t>SET B1 FOR BLOCKING SET B ECLIPSE</t>
  </si>
  <si>
    <t>UBE 35</t>
  </si>
  <si>
    <t>SET B2 FOR BLOCKING SET B ECLIPSE</t>
  </si>
  <si>
    <t>UBE 40</t>
  </si>
  <si>
    <t>SET C1 FOR BLOCKING SET C ECLIPSE</t>
  </si>
  <si>
    <t>UBE 45</t>
  </si>
  <si>
    <t>SET C2 FOR BLOCKING SET C ECLIPSE</t>
  </si>
  <si>
    <t>UBE 50</t>
  </si>
  <si>
    <t>SET D1 FOR BLOCKING SET D ECLIPSE</t>
  </si>
  <si>
    <t>UBE 55</t>
  </si>
  <si>
    <t>SET D2 FOR BLOCKING SET D ECLIPSE</t>
  </si>
  <si>
    <t>UBE 60</t>
  </si>
  <si>
    <t>SET E1 FOR BLOCKING SET E ECLIPSE</t>
  </si>
  <si>
    <t>UBE 65</t>
  </si>
  <si>
    <t>SET E2 FOR BLOCKING SET E ECLIPSE</t>
  </si>
  <si>
    <t>UBE 70</t>
  </si>
  <si>
    <t>TERRORS</t>
  </si>
  <si>
    <t>COST ex TAX</t>
  </si>
  <si>
    <t>XS</t>
  </si>
  <si>
    <t>UN 01</t>
  </si>
  <si>
    <t>SMALL 1</t>
  </si>
  <si>
    <t>UN 02</t>
  </si>
  <si>
    <t>MEDIUM 1</t>
  </si>
  <si>
    <t>UN 03</t>
  </si>
  <si>
    <t>LARGE 1</t>
  </si>
  <si>
    <t>N/A</t>
  </si>
  <si>
    <t>UN 04</t>
  </si>
  <si>
    <t>SM PLATES</t>
  </si>
  <si>
    <t>UN 05</t>
  </si>
  <si>
    <t>MEDIUM PLATES</t>
  </si>
  <si>
    <t>UN 06</t>
  </si>
  <si>
    <t>COMMAS</t>
  </si>
  <si>
    <t>DUAL TEX FOOT JIBS</t>
  </si>
  <si>
    <t>UC 02</t>
  </si>
  <si>
    <t>DUAL TEX SMALL FLARED JIBS</t>
  </si>
  <si>
    <t>UC 11</t>
  </si>
  <si>
    <t>DUAL TEX SMALL FLARED EDGES 1</t>
  </si>
  <si>
    <t>UC 16</t>
  </si>
  <si>
    <t>DUAL TEX SMALL FLARED EDGES 2</t>
  </si>
  <si>
    <t>UC 17</t>
  </si>
  <si>
    <t>XS FEET</t>
  </si>
  <si>
    <t>UC 01</t>
  </si>
  <si>
    <t>SMALL FEET</t>
  </si>
  <si>
    <t>UC O5</t>
  </si>
  <si>
    <t>SMALL JIBS</t>
  </si>
  <si>
    <t>UC 10</t>
  </si>
  <si>
    <t>SMALL EDGE</t>
  </si>
  <si>
    <t>UC 15</t>
  </si>
  <si>
    <t>SMALL DEEP EDGE</t>
  </si>
  <si>
    <t>UC 20</t>
  </si>
  <si>
    <t>SMALL SCOOP EDGE</t>
  </si>
  <si>
    <t>UC 25</t>
  </si>
  <si>
    <t>MEDIUM EDGE 1</t>
  </si>
  <si>
    <t>UC 30</t>
  </si>
  <si>
    <t>MEDIUM EDGE 2</t>
  </si>
  <si>
    <t>UC 35</t>
  </si>
  <si>
    <t>LARGE EDGE 1</t>
  </si>
  <si>
    <t>UC 40</t>
  </si>
  <si>
    <t>LARGE EDGE 2</t>
  </si>
  <si>
    <t>UC 45</t>
  </si>
  <si>
    <t>LARGE EDGE 3</t>
  </si>
  <si>
    <t>UC 50</t>
  </si>
  <si>
    <t>XL SLOPERS</t>
  </si>
  <si>
    <t>UC 55</t>
  </si>
  <si>
    <t>XL EDGE 2 DUAL TEX</t>
  </si>
  <si>
    <t>UC 56</t>
  </si>
  <si>
    <t>XL EDGE 3 DUAL TEX</t>
  </si>
  <si>
    <t>UC 57</t>
  </si>
  <si>
    <t>XXL SLOPERS</t>
  </si>
  <si>
    <t>UC 60</t>
  </si>
  <si>
    <t>XXXL SLOPERS</t>
  </si>
  <si>
    <t>UC 65</t>
  </si>
  <si>
    <t>DRIFTS</t>
  </si>
  <si>
    <t>PHOTOS</t>
  </si>
  <si>
    <t>SM FEET 1</t>
  </si>
  <si>
    <t>UD 01</t>
  </si>
  <si>
    <t>TECH FEET</t>
  </si>
  <si>
    <t>UD 04</t>
  </si>
  <si>
    <t>SM FEET 2</t>
  </si>
  <si>
    <t>UD 05</t>
  </si>
  <si>
    <t>UD 06</t>
  </si>
  <si>
    <t>LG FEET</t>
  </si>
  <si>
    <t>UD 07</t>
  </si>
  <si>
    <t>FEINT EDGES</t>
  </si>
  <si>
    <t>UD 08</t>
  </si>
  <si>
    <t>XS EDGES</t>
  </si>
  <si>
    <t>UD 09</t>
  </si>
  <si>
    <t xml:space="preserve">PLATE EDGES </t>
  </si>
  <si>
    <t>UD 10</t>
  </si>
  <si>
    <t xml:space="preserve">LG EDGES </t>
  </si>
  <si>
    <t>UD 11</t>
  </si>
  <si>
    <t>LG INCUTS</t>
  </si>
  <si>
    <t>UD 12</t>
  </si>
  <si>
    <t>LARGE PINCH</t>
  </si>
  <si>
    <t>UD 13</t>
  </si>
  <si>
    <t>SM EDGES 1</t>
  </si>
  <si>
    <t>UD 15</t>
  </si>
  <si>
    <t>SM EDGES 2</t>
  </si>
  <si>
    <t>UD 16</t>
  </si>
  <si>
    <t>MED EDGES</t>
  </si>
  <si>
    <t>UD 17</t>
  </si>
  <si>
    <t>RIB INCUTS</t>
  </si>
  <si>
    <t>UD 18</t>
  </si>
  <si>
    <t>FLAT EDGES</t>
  </si>
  <si>
    <t>UD 19</t>
  </si>
  <si>
    <t>SM JUGS 1</t>
  </si>
  <si>
    <t>UD 20</t>
  </si>
  <si>
    <t>MED JUGS 1</t>
  </si>
  <si>
    <t>UD 25</t>
  </si>
  <si>
    <t>MED JUGS 2</t>
  </si>
  <si>
    <t>UD 30</t>
  </si>
  <si>
    <t>LG JUGS 1</t>
  </si>
  <si>
    <t>UD 35</t>
  </si>
  <si>
    <t>LG JUGS 2</t>
  </si>
  <si>
    <t>UD 36</t>
  </si>
  <si>
    <t>XL JUGS 1</t>
  </si>
  <si>
    <t>UD 40</t>
  </si>
  <si>
    <t>XXL JUGS 1</t>
  </si>
  <si>
    <t>UD 45</t>
  </si>
  <si>
    <t>XXXL JUGS 1</t>
  </si>
  <si>
    <t>UD 50</t>
  </si>
  <si>
    <t>XL ROUND LEDGE</t>
  </si>
  <si>
    <t>UD 41</t>
  </si>
  <si>
    <t>MIXED LEDGE</t>
  </si>
  <si>
    <t>UD 42</t>
  </si>
  <si>
    <t>XL INCUT LEDGE</t>
  </si>
  <si>
    <t>UD 43</t>
  </si>
  <si>
    <t>4XL FEATURE</t>
  </si>
  <si>
    <t>UD 70</t>
  </si>
  <si>
    <t>MONSTER 2</t>
  </si>
  <si>
    <t>UD 66</t>
  </si>
  <si>
    <t>MONSTER 4</t>
  </si>
  <si>
    <t>UD 68</t>
  </si>
  <si>
    <t>FANGS</t>
  </si>
  <si>
    <r>
      <rPr>
        <rFont val="Calibri"/>
        <b/>
        <color theme="1"/>
        <sz val="15.0"/>
      </rPr>
      <t xml:space="preserve">XXXS       </t>
    </r>
    <r>
      <rPr>
        <rFont val="Calibri"/>
        <b/>
        <color theme="1"/>
        <sz val="11.0"/>
      </rPr>
      <t>TINY INCUT EDGES</t>
    </r>
  </si>
  <si>
    <t>Coming soon</t>
  </si>
  <si>
    <r>
      <rPr>
        <rFont val="Calibri"/>
        <b/>
        <color theme="1"/>
        <sz val="15.0"/>
      </rPr>
      <t xml:space="preserve">XXS 1 </t>
    </r>
    <r>
      <rPr>
        <rFont val="Calibri"/>
        <b/>
        <color theme="1"/>
        <sz val="11.0"/>
      </rPr>
      <t xml:space="preserve">        JUST THERE POSITIVE EDGES</t>
    </r>
  </si>
  <si>
    <t>UC 03</t>
  </si>
  <si>
    <r>
      <rPr>
        <rFont val="Calibri"/>
        <b/>
        <color theme="1"/>
        <sz val="15.0"/>
      </rPr>
      <t>XXS 2</t>
    </r>
    <r>
      <rPr>
        <rFont val="Calibri"/>
        <b/>
        <color theme="1"/>
        <sz val="11.0"/>
      </rPr>
      <t xml:space="preserve">         SLOPING EDGES</t>
    </r>
  </si>
  <si>
    <t>UC 04</t>
  </si>
  <si>
    <r>
      <rPr>
        <rFont val="Calibri"/>
        <b/>
        <color theme="1"/>
        <sz val="15.0"/>
      </rPr>
      <t xml:space="preserve">SMALL </t>
    </r>
    <r>
      <rPr>
        <rFont val="Calibri"/>
        <b/>
        <color theme="1"/>
        <sz val="11.0"/>
      </rPr>
      <t>MIXED INCUT AND SLOPING EDGES</t>
    </r>
  </si>
  <si>
    <t>UC 70</t>
  </si>
  <si>
    <r>
      <rPr>
        <rFont val="Calibri"/>
        <b/>
        <color theme="1"/>
        <sz val="15.0"/>
      </rPr>
      <t xml:space="preserve">MEDIUM </t>
    </r>
    <r>
      <rPr>
        <rFont val="Calibri"/>
        <b/>
        <color theme="1"/>
        <sz val="11.0"/>
      </rPr>
      <t>MIXED INCUT AND SLOPING EDGES</t>
    </r>
  </si>
  <si>
    <t>UC 71</t>
  </si>
  <si>
    <t>UC 72</t>
  </si>
  <si>
    <t>LARGE 2</t>
  </si>
  <si>
    <t>Coming Soon</t>
  </si>
  <si>
    <t>UC 73</t>
  </si>
  <si>
    <t>XL</t>
  </si>
  <si>
    <t>UC 74</t>
  </si>
  <si>
    <t>XXL</t>
  </si>
  <si>
    <t>UC 75</t>
  </si>
  <si>
    <t>MACROS</t>
  </si>
  <si>
    <t>UCF 85 - 91</t>
  </si>
  <si>
    <t>LOAVES</t>
  </si>
  <si>
    <t>PRICE (Euros)</t>
  </si>
  <si>
    <t>FOOT JIBS</t>
  </si>
  <si>
    <t>UL 01</t>
  </si>
  <si>
    <t>UL 02</t>
  </si>
  <si>
    <t>SM DEEP FEET</t>
  </si>
  <si>
    <t>UL 03</t>
  </si>
  <si>
    <t>MICRO JIBS 1</t>
  </si>
  <si>
    <t>UL 04</t>
  </si>
  <si>
    <t>THIN JIBS SM</t>
  </si>
  <si>
    <t>UL 05</t>
  </si>
  <si>
    <t>THIN JIBS LG</t>
  </si>
  <si>
    <t>UL 06</t>
  </si>
  <si>
    <r>
      <rPr>
        <rFont val="Calibri"/>
        <b/>
        <color theme="1"/>
        <sz val="11.0"/>
      </rPr>
      <t>XS MIXED EDGES</t>
    </r>
    <r>
      <rPr>
        <rFont val="Calibri"/>
        <b/>
        <color theme="1"/>
        <sz val="10.0"/>
      </rPr>
      <t xml:space="preserve"> </t>
    </r>
    <r>
      <rPr>
        <rFont val="Calibri"/>
        <b/>
        <i/>
        <color theme="1"/>
        <sz val="9.0"/>
      </rPr>
      <t>(SLOPERS TO INCUTS)</t>
    </r>
  </si>
  <si>
    <t>UL 10</t>
  </si>
  <si>
    <t>LG DEEP FEET</t>
  </si>
  <si>
    <t>UL 11</t>
  </si>
  <si>
    <r>
      <rPr>
        <rFont val="Calibri"/>
        <b/>
        <color theme="1"/>
        <sz val="11.0"/>
      </rPr>
      <t xml:space="preserve">SMALL MIXED EDGES  </t>
    </r>
    <r>
      <rPr>
        <rFont val="Calibri"/>
        <b/>
        <i/>
        <color theme="1"/>
        <sz val="9.0"/>
      </rPr>
      <t>(SLOPERS TO INCUTS)</t>
    </r>
  </si>
  <si>
    <t>UL 15</t>
  </si>
  <si>
    <t>XS PATCH</t>
  </si>
  <si>
    <t>UL 16</t>
  </si>
  <si>
    <t>SMALL JUGS</t>
  </si>
  <si>
    <t>UL 17</t>
  </si>
  <si>
    <r>
      <rPr>
        <rFont val="Calibri"/>
        <b/>
        <color theme="1"/>
        <sz val="11.0"/>
      </rPr>
      <t xml:space="preserve">MEDIUM EDGES  </t>
    </r>
    <r>
      <rPr>
        <rFont val="Calibri"/>
        <b/>
        <i/>
        <color theme="1"/>
        <sz val="9.0"/>
      </rPr>
      <t>(SLOPERS TO INCUTS)</t>
    </r>
  </si>
  <si>
    <t>UL 20</t>
  </si>
  <si>
    <t>MEDIUM PATCHES</t>
  </si>
  <si>
    <t>UL 22</t>
  </si>
  <si>
    <r>
      <rPr>
        <rFont val="Calibri"/>
        <b/>
        <color theme="1"/>
        <sz val="11.0"/>
      </rPr>
      <t xml:space="preserve">LARGE MIXED EDGES  </t>
    </r>
    <r>
      <rPr>
        <rFont val="Calibri"/>
        <b/>
        <i/>
        <color theme="1"/>
        <sz val="9.0"/>
      </rPr>
      <t>(SLOPERS TO INCUTS)</t>
    </r>
  </si>
  <si>
    <t>UL 25</t>
  </si>
  <si>
    <t>LG PATCH</t>
  </si>
  <si>
    <t>UL 26</t>
  </si>
  <si>
    <r>
      <rPr>
        <rFont val="Calibri"/>
        <b/>
        <color theme="1"/>
        <sz val="11.0"/>
      </rPr>
      <t xml:space="preserve">XL MIXED EDGES FROM  </t>
    </r>
    <r>
      <rPr>
        <rFont val="Calibri"/>
        <b/>
        <i/>
        <color theme="1"/>
        <sz val="9.0"/>
      </rPr>
      <t>(SLOPERS TO INCUTS)</t>
    </r>
  </si>
  <si>
    <t>UL 30</t>
  </si>
  <si>
    <t>XXL 1 INCUT EDGES</t>
  </si>
  <si>
    <t>UL 35</t>
  </si>
  <si>
    <r>
      <rPr>
        <rFont val="Calibri"/>
        <b/>
        <color theme="1"/>
        <sz val="11.0"/>
      </rPr>
      <t xml:space="preserve">XXL 2 </t>
    </r>
    <r>
      <rPr>
        <rFont val="Calibri"/>
        <b/>
        <i/>
        <color theme="1"/>
        <sz val="9.0"/>
      </rPr>
      <t>SLOPING EDGES</t>
    </r>
  </si>
  <si>
    <t>UL 40</t>
  </si>
  <si>
    <r>
      <rPr>
        <rFont val="Calibri"/>
        <b/>
        <color theme="1"/>
        <sz val="11.0"/>
      </rPr>
      <t xml:space="preserve">XXXL MIXED </t>
    </r>
    <r>
      <rPr>
        <rFont val="Calibri"/>
        <b/>
        <i/>
        <color theme="1"/>
        <sz val="9.0"/>
      </rPr>
      <t xml:space="preserve"> (SLOPERS TO INCUTS)</t>
    </r>
  </si>
  <si>
    <t>UL 45</t>
  </si>
  <si>
    <t>4 XL 1       JUGS</t>
  </si>
  <si>
    <t>UL 50</t>
  </si>
  <si>
    <t>4 XL 2         ROUNDED JUGS</t>
  </si>
  <si>
    <t>UL 55</t>
  </si>
  <si>
    <t>4 XL 3          ROUNDED JUGS</t>
  </si>
  <si>
    <t>UL 60</t>
  </si>
  <si>
    <t>4 XL 4         ROUNDED EDGES</t>
  </si>
  <si>
    <t>UL 65</t>
  </si>
  <si>
    <t>ROUGH LINE</t>
  </si>
  <si>
    <t>URL 01</t>
  </si>
  <si>
    <t>URL 80</t>
  </si>
  <si>
    <t>URL 02</t>
  </si>
  <si>
    <t>URL 05</t>
  </si>
  <si>
    <t>MED JIBS</t>
  </si>
  <si>
    <t>URL 06</t>
  </si>
  <si>
    <t>URL 07</t>
  </si>
  <si>
    <t>MED FEET</t>
  </si>
  <si>
    <t>URL 09</t>
  </si>
  <si>
    <t>SMALL EDGES</t>
  </si>
  <si>
    <t>URL 10</t>
  </si>
  <si>
    <t>SM DEEP EDGE</t>
  </si>
  <si>
    <t>URL 11</t>
  </si>
  <si>
    <t>URL 12</t>
  </si>
  <si>
    <t>SM STEEP EDGE</t>
  </si>
  <si>
    <t>URL 13</t>
  </si>
  <si>
    <t>LG FIN EDGE</t>
  </si>
  <si>
    <t>URL 14</t>
  </si>
  <si>
    <t>URL 20</t>
  </si>
  <si>
    <t>MED EDGE 2</t>
  </si>
  <si>
    <t>URL 21</t>
  </si>
  <si>
    <t>MED EDGE 3</t>
  </si>
  <si>
    <t>URL 22</t>
  </si>
  <si>
    <t>MED LONG EDGE</t>
  </si>
  <si>
    <t>URL 24</t>
  </si>
  <si>
    <t>MEDIUM FLAKES</t>
  </si>
  <si>
    <t>URL 25</t>
  </si>
  <si>
    <t>LG SLOPE EDGE</t>
  </si>
  <si>
    <t>URL 30</t>
  </si>
  <si>
    <t>LG EDGE 1</t>
  </si>
  <si>
    <t>URL 31</t>
  </si>
  <si>
    <t>LG LONG EDGE</t>
  </si>
  <si>
    <t>URL 33</t>
  </si>
  <si>
    <t>LG LOW PINCH</t>
  </si>
  <si>
    <t>URL 34</t>
  </si>
  <si>
    <t>LG FLAKES</t>
  </si>
  <si>
    <t>URL 35</t>
  </si>
  <si>
    <t>XL PINCHES</t>
  </si>
  <si>
    <t>URL 40</t>
  </si>
  <si>
    <t>XL PINCHES 1</t>
  </si>
  <si>
    <t>URL 41</t>
  </si>
  <si>
    <t>XL SLOPE EDGE</t>
  </si>
  <si>
    <t>URL 50</t>
  </si>
  <si>
    <t>XL LONG EDGE</t>
  </si>
  <si>
    <t>URL 51</t>
  </si>
  <si>
    <t>SM JUGS</t>
  </si>
  <si>
    <t>URL 60</t>
  </si>
  <si>
    <t>URL 61</t>
  </si>
  <si>
    <t>URL 62</t>
  </si>
  <si>
    <t xml:space="preserve">LG JUGS </t>
  </si>
  <si>
    <t>URL 65</t>
  </si>
  <si>
    <t>URL 66</t>
  </si>
  <si>
    <t>SMOOTH LINE POCKETS</t>
  </si>
  <si>
    <t>POCKETS</t>
  </si>
  <si>
    <t>FEET</t>
  </si>
  <si>
    <t>UP 01</t>
  </si>
  <si>
    <t>SMALL</t>
  </si>
  <si>
    <t>UP 05</t>
  </si>
  <si>
    <t>MEDIUM</t>
  </si>
  <si>
    <t>UP 10</t>
  </si>
  <si>
    <t>LARGE SLOTS</t>
  </si>
  <si>
    <t>UP 15</t>
  </si>
  <si>
    <t xml:space="preserve">LARGE </t>
  </si>
  <si>
    <t>UP 20</t>
  </si>
  <si>
    <t>XL SLOTS</t>
  </si>
  <si>
    <t>UP 25</t>
  </si>
  <si>
    <t xml:space="preserve">XL </t>
  </si>
  <si>
    <t>UP 30</t>
  </si>
  <si>
    <t>XL 2</t>
  </si>
  <si>
    <t>UP 31</t>
  </si>
  <si>
    <t>XL 3</t>
  </si>
  <si>
    <t>UP 32</t>
  </si>
  <si>
    <t>FEATURE 1</t>
  </si>
  <si>
    <t>UP 40</t>
  </si>
  <si>
    <t>FEATURE 2</t>
  </si>
  <si>
    <t>UP 41</t>
  </si>
  <si>
    <t>FEATURE 3</t>
  </si>
  <si>
    <t>UP 42</t>
  </si>
  <si>
    <t>SLOPERS</t>
  </si>
  <si>
    <t>USL 01</t>
  </si>
  <si>
    <t>SMALL FOOT SPIKES</t>
  </si>
  <si>
    <t>USL 02</t>
  </si>
  <si>
    <t>USL 03</t>
  </si>
  <si>
    <t>USL 04</t>
  </si>
  <si>
    <t>MED SLOPER FEET</t>
  </si>
  <si>
    <t>USL 05</t>
  </si>
  <si>
    <t>MEDIUM FEET</t>
  </si>
  <si>
    <t>USL 06</t>
  </si>
  <si>
    <t>LARGE FEET</t>
  </si>
  <si>
    <t>USL 07</t>
  </si>
  <si>
    <t>SMALL FLAT EDGES</t>
  </si>
  <si>
    <t>USL 10</t>
  </si>
  <si>
    <t>SMALL ROUND INCUTS</t>
  </si>
  <si>
    <t>USL 11</t>
  </si>
  <si>
    <t>SMALL FLARED INCUTS</t>
  </si>
  <si>
    <t>USL 12</t>
  </si>
  <si>
    <t>MED FLAT EDGES</t>
  </si>
  <si>
    <t>USL 15</t>
  </si>
  <si>
    <t>MEDIUM LOW PINCH</t>
  </si>
  <si>
    <t>USL 16</t>
  </si>
  <si>
    <t>MEDIUM INCUT EDGE</t>
  </si>
  <si>
    <t>USL 17</t>
  </si>
  <si>
    <t>LG ROUND EDGE</t>
  </si>
  <si>
    <t>USL 20</t>
  </si>
  <si>
    <t>LG DIMPLE EDGE</t>
  </si>
  <si>
    <t>USL 21</t>
  </si>
  <si>
    <t>LG ROUND LEDGE</t>
  </si>
  <si>
    <t>USL 60</t>
  </si>
  <si>
    <t>USL 30</t>
  </si>
  <si>
    <t>USL 40</t>
  </si>
  <si>
    <t>LARGE PINCHES</t>
  </si>
  <si>
    <t>USL 79</t>
  </si>
  <si>
    <t xml:space="preserve">USL 80 </t>
  </si>
  <si>
    <t>XXL PINCHES</t>
  </si>
  <si>
    <t>USL 85</t>
  </si>
  <si>
    <t>LARGE JUGS 1</t>
  </si>
  <si>
    <t>USL 50</t>
  </si>
  <si>
    <t>LARGE JUGS 2</t>
  </si>
  <si>
    <t>USL 51</t>
  </si>
  <si>
    <t>XL JUGS 1      ROOF</t>
  </si>
  <si>
    <t>USL 55</t>
  </si>
  <si>
    <t>XL JUGS 2      ROOF</t>
  </si>
  <si>
    <t>USL 56</t>
  </si>
  <si>
    <t>XXL JUGS 1     ROOF</t>
  </si>
  <si>
    <t>USL 57</t>
  </si>
  <si>
    <t>XXXL JUGS 1 ROOF</t>
  </si>
  <si>
    <t>USL 58</t>
  </si>
  <si>
    <t>XL LEDGES 1</t>
  </si>
  <si>
    <t>USL 65</t>
  </si>
  <si>
    <t>XL LEDGES 2</t>
  </si>
  <si>
    <t>USL 66</t>
  </si>
  <si>
    <t>XXL LEDGES 1</t>
  </si>
  <si>
    <t>USL 70</t>
  </si>
  <si>
    <t>XXL LEDGES 2</t>
  </si>
  <si>
    <t>USL 71</t>
  </si>
  <si>
    <t>XXXL LEDGES 1</t>
  </si>
  <si>
    <t>USL 75</t>
  </si>
  <si>
    <r>
      <rPr>
        <rFont val="Calibri"/>
        <b/>
        <color theme="1"/>
        <sz val="24.0"/>
      </rPr>
      <t xml:space="preserve"> </t>
    </r>
    <r>
      <rPr>
        <rFont val="Calibri"/>
        <b/>
        <color theme="1"/>
        <sz val="36.0"/>
      </rPr>
      <t>COMMAS DUAL TEX</t>
    </r>
  </si>
  <si>
    <t>HOLD SIZE</t>
  </si>
  <si>
    <t>UNITS</t>
  </si>
  <si>
    <t xml:space="preserve">Pack of 8 Commas Pinches. </t>
  </si>
  <si>
    <t xml:space="preserve">10% dscount </t>
  </si>
  <si>
    <t>w</t>
  </si>
  <si>
    <t>Small Pinches 1</t>
  </si>
  <si>
    <t>40 x 28 x 12 40 x 20 x 13 40 x 20 x 10 38 x 20 x 8</t>
  </si>
  <si>
    <t>UCF 49 UCF 50 UCF 51 UCF 52</t>
  </si>
  <si>
    <t>Small Pinches 2</t>
  </si>
  <si>
    <t>35*17*9</t>
  </si>
  <si>
    <t>UCF 63  UCF 64  UCF 65  USC 66</t>
  </si>
  <si>
    <t xml:space="preserve">Pack of  13 Commas Slopers &amp; Edges </t>
  </si>
  <si>
    <t>Comma Sloper 1 Juggy Sloper</t>
  </si>
  <si>
    <t>48 x 24 x 13</t>
  </si>
  <si>
    <t>UCF 46</t>
  </si>
  <si>
    <t>Comma Sloper 2 Edge</t>
  </si>
  <si>
    <t>50 x 24 x 13</t>
  </si>
  <si>
    <t>UCF 47</t>
  </si>
  <si>
    <t>Comma Sloper 3  Rounded Jug</t>
  </si>
  <si>
    <t>90 x 40 x 16</t>
  </si>
  <si>
    <t>UCF 38</t>
  </si>
  <si>
    <t>Comma Sloper 4 Sloping Jug</t>
  </si>
  <si>
    <t>80 x 38 x 18</t>
  </si>
  <si>
    <t>UCF 39</t>
  </si>
  <si>
    <t>Comma Sloper 5  Rounded Jug</t>
  </si>
  <si>
    <t>83 x 35 x 18</t>
  </si>
  <si>
    <t>UCF 40</t>
  </si>
  <si>
    <t>Comma Sloper 6 Round Sloper</t>
  </si>
  <si>
    <t>82 X 30 X 12</t>
  </si>
  <si>
    <t>UCF 73</t>
  </si>
  <si>
    <t>Comma Sloper 7 Rounded Jug</t>
  </si>
  <si>
    <t>80 X 36 X 14</t>
  </si>
  <si>
    <t>UCF 74</t>
  </si>
  <si>
    <t>Comma Sloper 8  Hard Sloper</t>
  </si>
  <si>
    <t>78 x 40 x 12</t>
  </si>
  <si>
    <t>UCF 42</t>
  </si>
  <si>
    <t>Comma Sloper 9 Flat Sloper</t>
  </si>
  <si>
    <t>50 x 245 x13</t>
  </si>
  <si>
    <t>UCF 48</t>
  </si>
  <si>
    <t>Comma Sloper 10  Hard Edge</t>
  </si>
  <si>
    <t>74 x 30 x 13</t>
  </si>
  <si>
    <t>UCF 43</t>
  </si>
  <si>
    <t>Comma Sloper 11  Sloper</t>
  </si>
  <si>
    <t>70 x 30 x 12</t>
  </si>
  <si>
    <t>UCF 44</t>
  </si>
  <si>
    <t>Comma Sloper 12  Edge</t>
  </si>
  <si>
    <t>84 X 34 X 13</t>
  </si>
  <si>
    <t>UCF 83</t>
  </si>
  <si>
    <t>Comma Sloper 13 Edge</t>
  </si>
  <si>
    <t>UCF 84</t>
  </si>
  <si>
    <t>Pack of 7 FANGS</t>
  </si>
  <si>
    <t>5% extra discount</t>
  </si>
  <si>
    <t>FANGS 1</t>
  </si>
  <si>
    <t>49 X 13 X 8</t>
  </si>
  <si>
    <t>UCF 85</t>
  </si>
  <si>
    <t>FANGS 2</t>
  </si>
  <si>
    <t>62 X 10 X 8</t>
  </si>
  <si>
    <t>UCF 86</t>
  </si>
  <si>
    <t>FANGS 3</t>
  </si>
  <si>
    <t>78 X 13 X 9</t>
  </si>
  <si>
    <t>UCF 87</t>
  </si>
  <si>
    <t>FANGS 4</t>
  </si>
  <si>
    <t>100 X 30 X 13</t>
  </si>
  <si>
    <t>UCF 88</t>
  </si>
  <si>
    <t>FANGS 5</t>
  </si>
  <si>
    <t>102 X 23 X 15</t>
  </si>
  <si>
    <t>UCF 89</t>
  </si>
  <si>
    <t>FANGS 6</t>
  </si>
  <si>
    <t>86 X 26 X 16</t>
  </si>
  <si>
    <t>UCF 90</t>
  </si>
  <si>
    <t>FANGS 7</t>
  </si>
  <si>
    <t>68 X 21 X 8</t>
  </si>
  <si>
    <t>UCF 91</t>
  </si>
  <si>
    <t>Pack of  23 small Slopers Commas</t>
  </si>
  <si>
    <t>-+10% discount</t>
  </si>
  <si>
    <t>Comma Small Sloper 1</t>
  </si>
  <si>
    <t>40 X 20 X 10 40 X 20 X 10</t>
  </si>
  <si>
    <t>UCF 53 UCF 54</t>
  </si>
  <si>
    <t>Comma Small Sloper 2</t>
  </si>
  <si>
    <t>30 X 22 X 10 30 X 22 X 10</t>
  </si>
  <si>
    <t>UCF 55 UCF 56</t>
  </si>
  <si>
    <t>Comma Small Sloper 3</t>
  </si>
  <si>
    <t>18 X 25 X 10 18 X 25 X 10</t>
  </si>
  <si>
    <t>UCF 57 UCF 58</t>
  </si>
  <si>
    <t>Comma Small Sloper 4</t>
  </si>
  <si>
    <t>UCF 59 UCF 60</t>
  </si>
  <si>
    <t>Comma Small Sloper 5</t>
  </si>
  <si>
    <t>20 X 26 X 8   20 X 26 X 8</t>
  </si>
  <si>
    <t>UCF 61 UCF 62</t>
  </si>
  <si>
    <t>Comma Small Sloper 6</t>
  </si>
  <si>
    <t>30 X 19 X 10 30 X 19 X 10</t>
  </si>
  <si>
    <t>UCF 67 UCF 68</t>
  </si>
  <si>
    <t>Comma Small Sloper 7</t>
  </si>
  <si>
    <t>36 X 24 X 14 36 X 24 X 14 36 X 24 X 14</t>
  </si>
  <si>
    <t>UCF 69 UCF 70 UCF 71</t>
  </si>
  <si>
    <t>FIBERGLASS MACROS</t>
  </si>
  <si>
    <t>FLURO</t>
  </si>
  <si>
    <t>Big Pack Originals + Loaves  ( 18 Macros)</t>
  </si>
  <si>
    <t>Discount 10%</t>
  </si>
  <si>
    <t>Original 1</t>
  </si>
  <si>
    <t>78 x 32 x 15</t>
  </si>
  <si>
    <t>UCF 01</t>
  </si>
  <si>
    <t>Original 2</t>
  </si>
  <si>
    <t>74 x 30 x 14</t>
  </si>
  <si>
    <t>UCF 02</t>
  </si>
  <si>
    <t>Original 3</t>
  </si>
  <si>
    <t>80 x 28 x 16</t>
  </si>
  <si>
    <t>UCF 03</t>
  </si>
  <si>
    <t>Original 4</t>
  </si>
  <si>
    <t>80 x 26 x 13</t>
  </si>
  <si>
    <t>UCF 04</t>
  </si>
  <si>
    <t>Original 5</t>
  </si>
  <si>
    <t>69 x 29 x 13</t>
  </si>
  <si>
    <t>UCF 05</t>
  </si>
  <si>
    <t>Original 6</t>
  </si>
  <si>
    <t>70 x 32 x 16</t>
  </si>
  <si>
    <t>UCF 06</t>
  </si>
  <si>
    <t>LOAVES Pack (12 macros )</t>
  </si>
  <si>
    <t>5% discount</t>
  </si>
  <si>
    <t>LOAVES 1</t>
  </si>
  <si>
    <t>78 x 20 x 10</t>
  </si>
  <si>
    <t>UCF 07</t>
  </si>
  <si>
    <t>LOAVES 2</t>
  </si>
  <si>
    <t>78 x 20 x 9</t>
  </si>
  <si>
    <t>UCF 08</t>
  </si>
  <si>
    <t>LOAVES 3</t>
  </si>
  <si>
    <t>80 x 19 x 8</t>
  </si>
  <si>
    <t>UCF 09</t>
  </si>
  <si>
    <t>LOAVES 4</t>
  </si>
  <si>
    <t>50 X 13 X 8</t>
  </si>
  <si>
    <t>UCF 80</t>
  </si>
  <si>
    <t>LOAVES 5</t>
  </si>
  <si>
    <t>UCF 81</t>
  </si>
  <si>
    <t>LOAVES 6</t>
  </si>
  <si>
    <t>UCF 82</t>
  </si>
  <si>
    <t>LOAVES 7</t>
  </si>
  <si>
    <t>68 x 17 x 8</t>
  </si>
  <si>
    <t>UCF 10</t>
  </si>
  <si>
    <t>LOAVES 8</t>
  </si>
  <si>
    <t>68 x 20 x 9</t>
  </si>
  <si>
    <t>UCF 11</t>
  </si>
  <si>
    <t>LOAVES 9</t>
  </si>
  <si>
    <t>68 x 19 x 10</t>
  </si>
  <si>
    <t>UCF 12</t>
  </si>
  <si>
    <t>LOAVES 10</t>
  </si>
  <si>
    <t>66 x 18 x 9</t>
  </si>
  <si>
    <t>UCF 13</t>
  </si>
  <si>
    <t>LOAVES 11</t>
  </si>
  <si>
    <t>80 x 20 x 10</t>
  </si>
  <si>
    <t>UCF 14</t>
  </si>
  <si>
    <t>LOAVES 12</t>
  </si>
  <si>
    <t>75 x 20 x 10</t>
  </si>
  <si>
    <t>UCF 15</t>
  </si>
  <si>
    <t xml:space="preserve">Angles Pack </t>
  </si>
  <si>
    <t>10% discount</t>
  </si>
  <si>
    <t>Angles 1</t>
  </si>
  <si>
    <t>60 x 46 x 13</t>
  </si>
  <si>
    <t>UCF 16</t>
  </si>
  <si>
    <t>Angles 2</t>
  </si>
  <si>
    <t>60 x 45 x 12</t>
  </si>
  <si>
    <t>UCF 17</t>
  </si>
  <si>
    <t>Angles 3</t>
  </si>
  <si>
    <t>60 x 45 x 15</t>
  </si>
  <si>
    <t>UCF 18</t>
  </si>
  <si>
    <t>Angles 4</t>
  </si>
  <si>
    <t>UCF 19</t>
  </si>
  <si>
    <t>Angles 5</t>
  </si>
  <si>
    <t>UCF 20</t>
  </si>
  <si>
    <t>Angles 6</t>
  </si>
  <si>
    <t>58 x 38 x 11</t>
  </si>
  <si>
    <t>UCF 21</t>
  </si>
  <si>
    <t>Angles 7</t>
  </si>
  <si>
    <t>UCF 22</t>
  </si>
  <si>
    <t>Angles 8</t>
  </si>
  <si>
    <t>UCF 23</t>
  </si>
  <si>
    <t>Angles 9</t>
  </si>
  <si>
    <t>55 x 28 x 8 56 x 28 x 9 55 x 23 x 10 58 x 30 x 10</t>
  </si>
  <si>
    <t>UCF 26 UCF 27 UCF 28 UCF 29</t>
  </si>
  <si>
    <t>Angles 10</t>
  </si>
  <si>
    <t>70 x 70 x 16</t>
  </si>
  <si>
    <t>UCF 30</t>
  </si>
  <si>
    <t>Angles 11</t>
  </si>
  <si>
    <t>70 x 70 x 17</t>
  </si>
  <si>
    <t>UCF 31</t>
  </si>
  <si>
    <t>Angles 12</t>
  </si>
  <si>
    <t>110 x 40 x 12</t>
  </si>
  <si>
    <t>UCF 32</t>
  </si>
  <si>
    <t>Angles 13</t>
  </si>
  <si>
    <t>110 x 50 x 12</t>
  </si>
  <si>
    <t>UCF 33</t>
  </si>
  <si>
    <t>Angles 14</t>
  </si>
  <si>
    <t>PIC COMING SOON</t>
  </si>
  <si>
    <t>76 x 30 x 13</t>
  </si>
  <si>
    <t>UCF 34</t>
  </si>
  <si>
    <t>Angles 15</t>
  </si>
  <si>
    <t>75 x 25 x 10</t>
  </si>
  <si>
    <t>UCF 35</t>
  </si>
  <si>
    <t>Angles 16</t>
  </si>
  <si>
    <t>UCF 36</t>
  </si>
  <si>
    <t>Angles 17</t>
  </si>
  <si>
    <t>UCF 37</t>
  </si>
  <si>
    <t xml:space="preserve">COLOURS: 2-BRIGHT YELLOW. 5-TRAFFIC RED. 7-SKY BLUE. 10-BLACK. 11-FLURO ORANGE. 12-FLURO GREEN. 13-FLURO PINK. </t>
  </si>
  <si>
    <t>16-SIGNAL VIOLET. 69-LIGHT GREEN. 76-BURNT ORANGE. 77-US GREEN. 79-PURE WHITE. 81-PURPLE</t>
  </si>
  <si>
    <t>KG</t>
  </si>
  <si>
    <t>COLOURS</t>
  </si>
  <si>
    <t>BLOCKERS</t>
  </si>
  <si>
    <t>BRIGHT YELLOW - RAL 1023</t>
  </si>
  <si>
    <t>TRAFFIC RED - RAL 3020</t>
  </si>
  <si>
    <t>SKY BLUE - RAL 5015</t>
  </si>
  <si>
    <t>BLACK - RAL 9005</t>
  </si>
  <si>
    <t>FLURO ORANGE - RAL 2005</t>
  </si>
  <si>
    <t>FLURO GREEN - PAN. 802C</t>
  </si>
  <si>
    <t>FLURO PINK - PAN. 806C</t>
  </si>
  <si>
    <t>SIGNAL VIOLET - RAL 4008</t>
  </si>
  <si>
    <t>LIGHT GREEN - RAL 6018</t>
  </si>
  <si>
    <t>BURNT ORANGE - US 14-01</t>
  </si>
  <si>
    <t>US GREEN - US 16-16</t>
  </si>
  <si>
    <t>PURE WHITE - RAL 9001</t>
  </si>
  <si>
    <t>SMOOTH LINE (POCKETS)</t>
  </si>
  <si>
    <t>US PURPLE - PAN 267u</t>
  </si>
  <si>
    <t>SMOOTH LINE (SLOPERS)</t>
  </si>
  <si>
    <t>FUL TEX FIBERGLASS</t>
  </si>
  <si>
    <t>XX</t>
  </si>
  <si>
    <t>COMMAS DT FIBERGLASS</t>
  </si>
  <si>
    <t>TOTAL SETS PER COLOUR</t>
  </si>
  <si>
    <t>SHIPPING DETAILS</t>
  </si>
  <si>
    <t>COMPANY NAME</t>
  </si>
  <si>
    <t>TOTAL SETS</t>
  </si>
  <si>
    <t>ADDRESS</t>
  </si>
  <si>
    <t>TOTAL HOLDS</t>
  </si>
  <si>
    <t>TOTAL WEIGHT</t>
  </si>
  <si>
    <t>TOTAL COST ex TAX</t>
  </si>
  <si>
    <t>Discount</t>
  </si>
  <si>
    <t>POST CODE</t>
  </si>
  <si>
    <t>TAX</t>
  </si>
  <si>
    <t>COUNTRY</t>
  </si>
  <si>
    <t>TOTAL ORDER COST</t>
  </si>
  <si>
    <t>PHONE NUMBER</t>
  </si>
  <si>
    <t>EMAIL</t>
  </si>
  <si>
    <t>YOUR REFERENCE NUMBER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</si>
</sst>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\ [$€-1]"/>
    <numFmt numFmtId="165" formatCode="_-[$€-2]\ * #,##0.00_-;\-[$€-2]\ * #,##0.00_-;_-[$€-2]\ * &quot;-&quot;??_-;_-@"/>
    <numFmt numFmtId="166" formatCode="#,##0\ [$€-1]"/>
    <numFmt numFmtId="167" formatCode="_-[$$-C09]* #,##0.00_-;\-[$$-C09]* #,##0.00_-;_-[$$-C09]* &quot;-&quot;??_-;_-@"/>
    <numFmt numFmtId="168" formatCode="_-[$€-2]\ * #,##0_-;\-[$€-2]\ * #,##0_-;_-[$€-2]\ * &quot;-&quot;??_-;_-@"/>
    <numFmt numFmtId="169" formatCode="_-&quot;$&quot;* #,##0.00_-;\-&quot;$&quot;* #,##0.00_-;_-&quot;$&quot;* &quot;-&quot;??_-;_-@"/>
  </numFmts>
  <fonts count="34">
    <font>
      <sz val="11.0"/>
      <color theme="1"/>
      <name val="Calibri"/>
      <scheme val="minor"/>
    </font>
    <font>
      <sz val="11.0"/>
      <color theme="1"/>
      <name val="Calibri"/>
    </font>
    <font>
      <b/>
      <sz val="28.0"/>
      <color theme="1"/>
      <name val="Calibri"/>
    </font>
    <font/>
    <font>
      <b/>
      <sz val="11.0"/>
      <color theme="1"/>
      <name val="Calibri"/>
    </font>
    <font>
      <b/>
      <sz val="11.0"/>
      <color theme="0"/>
      <name val="Calibri"/>
    </font>
    <font>
      <b/>
      <sz val="9.0"/>
      <color theme="1"/>
      <name val="Calibri"/>
    </font>
    <font>
      <sz val="20.0"/>
      <color theme="1"/>
      <name val="Calibri"/>
    </font>
    <font>
      <sz val="20.0"/>
      <color theme="0"/>
      <name val="Calibri"/>
    </font>
    <font>
      <b/>
      <sz val="10.0"/>
      <color theme="1"/>
      <name val="Calibri"/>
    </font>
    <font>
      <b/>
      <sz val="20.0"/>
      <color theme="1"/>
      <name val="Calibri"/>
    </font>
    <font>
      <sz val="11.0"/>
      <color theme="0"/>
      <name val="Calibri"/>
    </font>
    <font>
      <b/>
      <sz val="26.0"/>
      <color theme="1"/>
      <name val="Calibri"/>
    </font>
    <font>
      <sz val="20.0"/>
      <color rgb="FFFFFFFF"/>
      <name val="Calibri"/>
    </font>
    <font>
      <b/>
      <sz val="28.0"/>
      <color rgb="FFFF0000"/>
      <name val="Calibri"/>
    </font>
    <font>
      <b/>
      <sz val="15.0"/>
      <color theme="1"/>
      <name val="Calibri"/>
    </font>
    <font>
      <b/>
      <sz val="22.0"/>
      <color theme="1"/>
      <name val="Calibri"/>
    </font>
    <font>
      <sz val="22.0"/>
      <color theme="1"/>
      <name val="Calibri"/>
    </font>
    <font>
      <b/>
      <sz val="24.0"/>
      <color theme="1"/>
      <name val="Calibri"/>
    </font>
    <font>
      <b/>
      <sz val="17.0"/>
      <color theme="1"/>
      <name val="Calibri"/>
    </font>
    <font>
      <b/>
      <sz val="14.0"/>
      <color theme="1"/>
      <name val="Calibri"/>
    </font>
    <font>
      <b/>
      <sz val="14.0"/>
      <color rgb="FFFF0000"/>
      <name val="Calibri"/>
    </font>
    <font>
      <b/>
      <sz val="13.0"/>
      <color theme="1"/>
      <name val="Calibri"/>
    </font>
    <font>
      <b/>
      <sz val="14.0"/>
      <color theme="0"/>
      <name val="Calibri"/>
    </font>
    <font>
      <b/>
      <sz val="13.0"/>
      <color rgb="FFFF0000"/>
      <name val="Calibri"/>
    </font>
    <font>
      <b/>
      <sz val="13.0"/>
      <color theme="0"/>
      <name val="Calibri"/>
    </font>
    <font>
      <b/>
      <sz val="16.0"/>
      <color theme="1"/>
      <name val="Calibri"/>
    </font>
    <font>
      <b/>
      <sz val="18.0"/>
      <color theme="1"/>
      <name val="Calibri"/>
    </font>
    <font>
      <sz val="16.0"/>
      <color theme="1"/>
      <name val="Calibri"/>
    </font>
    <font>
      <b/>
      <sz val="10.0"/>
      <color rgb="FFFF0000"/>
      <name val="Calibri"/>
    </font>
    <font>
      <sz val="11.0"/>
      <color rgb="FFFFFFFF"/>
      <name val="Calibri"/>
    </font>
    <font>
      <b/>
      <sz val="11.0"/>
      <color rgb="FFFF0000"/>
      <name val="Calibri"/>
    </font>
    <font>
      <sz val="10.0"/>
      <color theme="1"/>
      <name val="Calibri"/>
    </font>
    <font>
      <sz val="12.0"/>
      <color theme="1"/>
      <name val="Calibri"/>
    </font>
  </fonts>
  <fills count="2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  <fill>
      <patternFill patternType="solid">
        <fgColor rgb="FF66FF66"/>
        <bgColor rgb="FF66FF66"/>
      </patternFill>
    </fill>
    <fill>
      <patternFill patternType="solid">
        <fgColor rgb="FFFF0066"/>
        <bgColor rgb="FFFF0066"/>
      </patternFill>
    </fill>
    <fill>
      <patternFill patternType="solid">
        <fgColor rgb="FFCC00FF"/>
        <bgColor rgb="FFCC00FF"/>
      </patternFill>
    </fill>
    <fill>
      <patternFill patternType="solid">
        <fgColor rgb="FFA8D08D"/>
        <bgColor rgb="FFA8D08D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7030A0"/>
        <bgColor rgb="FF7030A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66FF"/>
        <bgColor rgb="FFFF66FF"/>
      </patternFill>
    </fill>
    <fill>
      <patternFill patternType="solid">
        <fgColor rgb="FF66FFFF"/>
        <bgColor rgb="FF66FFFF"/>
      </patternFill>
    </fill>
    <fill>
      <patternFill patternType="solid">
        <fgColor rgb="FF00FF00"/>
        <bgColor rgb="FF00FF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9900FF"/>
        <bgColor rgb="FF9900FF"/>
      </patternFill>
    </fill>
  </fills>
  <borders count="74">
    <border/>
    <border>
      <left/>
      <top/>
      <bottom/>
    </border>
    <border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/>
    </border>
    <border>
      <top/>
    </border>
    <border>
      <left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left/>
      <right/>
      <top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00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2" fontId="1" numFmtId="0" xfId="0" applyBorder="1" applyFont="1"/>
    <xf borderId="3" fillId="2" fontId="1" numFmtId="164" xfId="0" applyBorder="1" applyFont="1" applyNumberFormat="1"/>
    <xf borderId="4" fillId="3" fontId="4" numFmtId="0" xfId="0" applyAlignment="1" applyBorder="1" applyFill="1" applyFont="1">
      <alignment vertical="center"/>
    </xf>
    <xf borderId="4" fillId="4" fontId="4" numFmtId="0" xfId="0" applyAlignment="1" applyBorder="1" applyFill="1" applyFont="1">
      <alignment vertical="center"/>
    </xf>
    <xf borderId="4" fillId="5" fontId="4" numFmtId="0" xfId="0" applyAlignment="1" applyBorder="1" applyFill="1" applyFont="1">
      <alignment vertical="center"/>
    </xf>
    <xf borderId="4" fillId="6" fontId="5" numFmtId="0" xfId="0" applyAlignment="1" applyBorder="1" applyFill="1" applyFont="1">
      <alignment vertical="center"/>
    </xf>
    <xf borderId="4" fillId="7" fontId="4" numFmtId="0" xfId="0" applyAlignment="1" applyBorder="1" applyFill="1" applyFont="1">
      <alignment vertical="center"/>
    </xf>
    <xf borderId="4" fillId="8" fontId="4" numFmtId="0" xfId="0" applyAlignment="1" applyBorder="1" applyFill="1" applyFont="1">
      <alignment vertical="center"/>
    </xf>
    <xf borderId="4" fillId="9" fontId="4" numFmtId="0" xfId="0" applyAlignment="1" applyBorder="1" applyFill="1" applyFont="1">
      <alignment vertical="center"/>
    </xf>
    <xf borderId="4" fillId="10" fontId="4" numFmtId="0" xfId="0" applyAlignment="1" applyBorder="1" applyFill="1" applyFont="1">
      <alignment vertical="center"/>
    </xf>
    <xf borderId="4" fillId="11" fontId="4" numFmtId="0" xfId="0" applyAlignment="1" applyBorder="1" applyFill="1" applyFont="1">
      <alignment vertical="center"/>
    </xf>
    <xf borderId="4" fillId="12" fontId="4" numFmtId="0" xfId="0" applyAlignment="1" applyBorder="1" applyFill="1" applyFont="1">
      <alignment vertical="center"/>
    </xf>
    <xf borderId="4" fillId="13" fontId="4" numFmtId="0" xfId="0" applyAlignment="1" applyBorder="1" applyFill="1" applyFont="1">
      <alignment vertical="center"/>
    </xf>
    <xf borderId="4" fillId="2" fontId="4" numFmtId="0" xfId="0" applyAlignment="1" applyBorder="1" applyFont="1">
      <alignment vertical="center"/>
    </xf>
    <xf borderId="4" fillId="14" fontId="5" numFmtId="0" xfId="0" applyAlignment="1" applyBorder="1" applyFill="1" applyFont="1">
      <alignment vertical="center"/>
    </xf>
    <xf borderId="0" fillId="0" fontId="1" numFmtId="0" xfId="0" applyFont="1"/>
    <xf borderId="5" fillId="0" fontId="4" numFmtId="0" xfId="0" applyAlignment="1" applyBorder="1" applyFont="1">
      <alignment horizontal="center"/>
    </xf>
    <xf borderId="6" fillId="0" fontId="4" numFmtId="0" xfId="0" applyAlignment="1" applyBorder="1" applyFont="1">
      <alignment horizontal="center"/>
    </xf>
    <xf borderId="7" fillId="0" fontId="4" numFmtId="0" xfId="0" applyAlignment="1" applyBorder="1" applyFont="1">
      <alignment horizontal="center"/>
    </xf>
    <xf borderId="7" fillId="0" fontId="4" numFmtId="164" xfId="0" applyAlignment="1" applyBorder="1" applyFont="1" applyNumberFormat="1">
      <alignment horizontal="center"/>
    </xf>
    <xf borderId="8" fillId="3" fontId="4" numFmtId="0" xfId="0" applyAlignment="1" applyBorder="1" applyFont="1">
      <alignment horizontal="center"/>
    </xf>
    <xf borderId="8" fillId="4" fontId="4" numFmtId="0" xfId="0" applyAlignment="1" applyBorder="1" applyFont="1">
      <alignment horizontal="center"/>
    </xf>
    <xf borderId="8" fillId="5" fontId="4" numFmtId="0" xfId="0" applyAlignment="1" applyBorder="1" applyFont="1">
      <alignment horizontal="center"/>
    </xf>
    <xf borderId="8" fillId="6" fontId="5" numFmtId="0" xfId="0" applyAlignment="1" applyBorder="1" applyFont="1">
      <alignment horizontal="center"/>
    </xf>
    <xf borderId="8" fillId="7" fontId="4" numFmtId="0" xfId="0" applyAlignment="1" applyBorder="1" applyFont="1">
      <alignment horizontal="center"/>
    </xf>
    <xf borderId="8" fillId="8" fontId="4" numFmtId="0" xfId="0" applyAlignment="1" applyBorder="1" applyFont="1">
      <alignment horizontal="center"/>
    </xf>
    <xf borderId="8" fillId="9" fontId="4" numFmtId="0" xfId="0" applyAlignment="1" applyBorder="1" applyFont="1">
      <alignment horizontal="center"/>
    </xf>
    <xf borderId="8" fillId="10" fontId="4" numFmtId="0" xfId="0" applyAlignment="1" applyBorder="1" applyFont="1">
      <alignment horizontal="center"/>
    </xf>
    <xf borderId="8" fillId="11" fontId="4" numFmtId="0" xfId="0" applyAlignment="1" applyBorder="1" applyFont="1">
      <alignment horizontal="center"/>
    </xf>
    <xf borderId="8" fillId="12" fontId="4" numFmtId="0" xfId="0" applyAlignment="1" applyBorder="1" applyFont="1">
      <alignment horizontal="center"/>
    </xf>
    <xf borderId="8" fillId="15" fontId="4" numFmtId="0" xfId="0" applyAlignment="1" applyBorder="1" applyFill="1" applyFont="1">
      <alignment horizontal="center"/>
    </xf>
    <xf borderId="8" fillId="2" fontId="4" numFmtId="0" xfId="0" applyAlignment="1" applyBorder="1" applyFont="1">
      <alignment horizontal="center"/>
    </xf>
    <xf borderId="8" fillId="14" fontId="5" numFmtId="0" xfId="0" applyAlignment="1" applyBorder="1" applyFont="1">
      <alignment horizontal="center"/>
    </xf>
    <xf borderId="7" fillId="0" fontId="6" numFmtId="0" xfId="0" applyAlignment="1" applyBorder="1" applyFont="1">
      <alignment horizontal="center"/>
    </xf>
    <xf borderId="9" fillId="0" fontId="6" numFmtId="0" xfId="0" applyAlignment="1" applyBorder="1" applyFont="1">
      <alignment horizontal="center"/>
    </xf>
    <xf borderId="10" fillId="0" fontId="6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  <xf borderId="3" fillId="2" fontId="5" numFmtId="0" xfId="0" applyAlignment="1" applyBorder="1" applyFont="1">
      <alignment horizontal="center"/>
    </xf>
    <xf borderId="11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 vertical="center"/>
    </xf>
    <xf borderId="13" fillId="2" fontId="4" numFmtId="164" xfId="0" applyAlignment="1" applyBorder="1" applyFont="1" applyNumberFormat="1">
      <alignment readingOrder="0" vertical="center"/>
    </xf>
    <xf borderId="12" fillId="3" fontId="7" numFmtId="0" xfId="0" applyAlignment="1" applyBorder="1" applyFont="1">
      <alignment vertical="center"/>
    </xf>
    <xf borderId="12" fillId="4" fontId="7" numFmtId="0" xfId="0" applyAlignment="1" applyBorder="1" applyFont="1">
      <alignment vertical="center"/>
    </xf>
    <xf borderId="12" fillId="5" fontId="7" numFmtId="0" xfId="0" applyAlignment="1" applyBorder="1" applyFont="1">
      <alignment vertical="center"/>
    </xf>
    <xf borderId="12" fillId="6" fontId="8" numFmtId="0" xfId="0" applyAlignment="1" applyBorder="1" applyFont="1">
      <alignment vertical="center"/>
    </xf>
    <xf borderId="12" fillId="7" fontId="7" numFmtId="0" xfId="0" applyAlignment="1" applyBorder="1" applyFont="1">
      <alignment vertical="center"/>
    </xf>
    <xf borderId="12" fillId="8" fontId="7" numFmtId="0" xfId="0" applyAlignment="1" applyBorder="1" applyFont="1">
      <alignment vertical="center"/>
    </xf>
    <xf borderId="12" fillId="9" fontId="7" numFmtId="0" xfId="0" applyAlignment="1" applyBorder="1" applyFont="1">
      <alignment vertical="center"/>
    </xf>
    <xf borderId="12" fillId="10" fontId="7" numFmtId="0" xfId="0" applyAlignment="1" applyBorder="1" applyFont="1">
      <alignment vertical="center"/>
    </xf>
    <xf borderId="12" fillId="11" fontId="7" numFmtId="0" xfId="0" applyAlignment="1" applyBorder="1" applyFont="1">
      <alignment vertical="center"/>
    </xf>
    <xf borderId="12" fillId="12" fontId="7" numFmtId="0" xfId="0" applyAlignment="1" applyBorder="1" applyFont="1">
      <alignment vertical="center"/>
    </xf>
    <xf borderId="12" fillId="13" fontId="7" numFmtId="0" xfId="0" applyAlignment="1" applyBorder="1" applyFont="1">
      <alignment vertical="center"/>
    </xf>
    <xf borderId="12" fillId="2" fontId="7" numFmtId="0" xfId="0" applyAlignment="1" applyBorder="1" applyFont="1">
      <alignment vertical="center"/>
    </xf>
    <xf borderId="12" fillId="14" fontId="8" numFmtId="0" xfId="0" applyAlignment="1" applyBorder="1" applyFont="1">
      <alignment vertical="center"/>
    </xf>
    <xf borderId="12" fillId="0" fontId="1" numFmtId="0" xfId="0" applyAlignment="1" applyBorder="1" applyFont="1">
      <alignment vertical="center"/>
    </xf>
    <xf borderId="14" fillId="0" fontId="1" numFmtId="165" xfId="0" applyAlignment="1" applyBorder="1" applyFont="1" applyNumberFormat="1">
      <alignment vertical="center"/>
    </xf>
    <xf borderId="0" fillId="0" fontId="1" numFmtId="166" xfId="0" applyFont="1" applyNumberFormat="1"/>
    <xf borderId="15" fillId="2" fontId="4" numFmtId="0" xfId="0" applyAlignment="1" applyBorder="1" applyFont="1">
      <alignment horizontal="center" vertical="center"/>
    </xf>
    <xf borderId="13" fillId="2" fontId="4" numFmtId="0" xfId="0" applyAlignment="1" applyBorder="1" applyFont="1">
      <alignment horizontal="center"/>
    </xf>
    <xf borderId="13" fillId="2" fontId="4" numFmtId="0" xfId="0" applyAlignment="1" applyBorder="1" applyFont="1">
      <alignment horizontal="center" vertical="center"/>
    </xf>
    <xf borderId="13" fillId="3" fontId="7" numFmtId="0" xfId="0" applyAlignment="1" applyBorder="1" applyFont="1">
      <alignment vertical="center"/>
    </xf>
    <xf borderId="13" fillId="4" fontId="7" numFmtId="0" xfId="0" applyAlignment="1" applyBorder="1" applyFont="1">
      <alignment vertical="center"/>
    </xf>
    <xf borderId="13" fillId="5" fontId="7" numFmtId="0" xfId="0" applyAlignment="1" applyBorder="1" applyFont="1">
      <alignment vertical="center"/>
    </xf>
    <xf borderId="13" fillId="6" fontId="8" numFmtId="0" xfId="0" applyAlignment="1" applyBorder="1" applyFont="1">
      <alignment vertical="center"/>
    </xf>
    <xf borderId="13" fillId="7" fontId="7" numFmtId="0" xfId="0" applyAlignment="1" applyBorder="1" applyFont="1">
      <alignment vertical="center"/>
    </xf>
    <xf borderId="13" fillId="8" fontId="7" numFmtId="0" xfId="0" applyAlignment="1" applyBorder="1" applyFont="1">
      <alignment vertical="center"/>
    </xf>
    <xf borderId="13" fillId="9" fontId="7" numFmtId="0" xfId="0" applyAlignment="1" applyBorder="1" applyFont="1">
      <alignment vertical="center"/>
    </xf>
    <xf borderId="13" fillId="10" fontId="7" numFmtId="0" xfId="0" applyAlignment="1" applyBorder="1" applyFont="1">
      <alignment vertical="center"/>
    </xf>
    <xf borderId="13" fillId="11" fontId="7" numFmtId="0" xfId="0" applyAlignment="1" applyBorder="1" applyFont="1">
      <alignment vertical="center"/>
    </xf>
    <xf borderId="13" fillId="12" fontId="7" numFmtId="0" xfId="0" applyAlignment="1" applyBorder="1" applyFont="1">
      <alignment vertical="center"/>
    </xf>
    <xf borderId="13" fillId="13" fontId="7" numFmtId="0" xfId="0" applyAlignment="1" applyBorder="1" applyFont="1">
      <alignment vertical="center"/>
    </xf>
    <xf borderId="13" fillId="2" fontId="7" numFmtId="0" xfId="0" applyAlignment="1" applyBorder="1" applyFont="1">
      <alignment vertical="center"/>
    </xf>
    <xf borderId="13" fillId="14" fontId="8" numFmtId="0" xfId="0" applyAlignment="1" applyBorder="1" applyFont="1">
      <alignment vertical="center"/>
    </xf>
    <xf borderId="13" fillId="2" fontId="1" numFmtId="0" xfId="0" applyAlignment="1" applyBorder="1" applyFont="1">
      <alignment vertical="center"/>
    </xf>
    <xf borderId="16" fillId="2" fontId="1" numFmtId="165" xfId="0" applyAlignment="1" applyBorder="1" applyFont="1" applyNumberFormat="1">
      <alignment vertical="center"/>
    </xf>
    <xf borderId="15" fillId="0" fontId="4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/>
    </xf>
    <xf borderId="13" fillId="0" fontId="4" numFmtId="0" xfId="0" applyAlignment="1" applyBorder="1" applyFont="1">
      <alignment horizontal="center" vertical="center"/>
    </xf>
    <xf borderId="13" fillId="0" fontId="1" numFmtId="0" xfId="0" applyAlignment="1" applyBorder="1" applyFont="1">
      <alignment vertical="center"/>
    </xf>
    <xf borderId="16" fillId="0" fontId="1" numFmtId="165" xfId="0" applyAlignment="1" applyBorder="1" applyFont="1" applyNumberFormat="1">
      <alignment vertical="center"/>
    </xf>
    <xf borderId="15" fillId="0" fontId="4" numFmtId="0" xfId="0" applyAlignment="1" applyBorder="1" applyFont="1">
      <alignment horizontal="center" vertical="center"/>
    </xf>
    <xf borderId="17" fillId="0" fontId="9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/>
    </xf>
    <xf borderId="4" fillId="0" fontId="4" numFmtId="0" xfId="0" applyAlignment="1" applyBorder="1" applyFont="1">
      <alignment horizontal="center" vertical="center"/>
    </xf>
    <xf borderId="4" fillId="3" fontId="7" numFmtId="0" xfId="0" applyAlignment="1" applyBorder="1" applyFont="1">
      <alignment vertical="center"/>
    </xf>
    <xf borderId="4" fillId="4" fontId="7" numFmtId="0" xfId="0" applyAlignment="1" applyBorder="1" applyFont="1">
      <alignment vertical="center"/>
    </xf>
    <xf borderId="4" fillId="5" fontId="7" numFmtId="0" xfId="0" applyAlignment="1" applyBorder="1" applyFont="1">
      <alignment vertical="center"/>
    </xf>
    <xf borderId="4" fillId="6" fontId="8" numFmtId="0" xfId="0" applyAlignment="1" applyBorder="1" applyFont="1">
      <alignment vertical="center"/>
    </xf>
    <xf borderId="4" fillId="7" fontId="7" numFmtId="0" xfId="0" applyAlignment="1" applyBorder="1" applyFont="1">
      <alignment vertical="center"/>
    </xf>
    <xf borderId="4" fillId="8" fontId="7" numFmtId="0" xfId="0" applyAlignment="1" applyBorder="1" applyFont="1">
      <alignment vertical="center"/>
    </xf>
    <xf borderId="4" fillId="9" fontId="7" numFmtId="0" xfId="0" applyAlignment="1" applyBorder="1" applyFont="1">
      <alignment vertical="center"/>
    </xf>
    <xf borderId="4" fillId="10" fontId="7" numFmtId="0" xfId="0" applyAlignment="1" applyBorder="1" applyFont="1">
      <alignment vertical="center"/>
    </xf>
    <xf borderId="4" fillId="11" fontId="7" numFmtId="0" xfId="0" applyAlignment="1" applyBorder="1" applyFont="1">
      <alignment vertical="center"/>
    </xf>
    <xf borderId="4" fillId="12" fontId="7" numFmtId="0" xfId="0" applyAlignment="1" applyBorder="1" applyFont="1">
      <alignment vertical="center"/>
    </xf>
    <xf borderId="4" fillId="13" fontId="7" numFmtId="0" xfId="0" applyAlignment="1" applyBorder="1" applyFont="1">
      <alignment vertical="center"/>
    </xf>
    <xf borderId="4" fillId="2" fontId="7" numFmtId="0" xfId="0" applyAlignment="1" applyBorder="1" applyFont="1">
      <alignment vertical="center"/>
    </xf>
    <xf borderId="4" fillId="14" fontId="8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18" fillId="0" fontId="1" numFmtId="165" xfId="0" applyAlignment="1" applyBorder="1" applyFont="1" applyNumberFormat="1">
      <alignment vertical="center"/>
    </xf>
    <xf borderId="19" fillId="2" fontId="1" numFmtId="0" xfId="0" applyBorder="1" applyFont="1"/>
    <xf borderId="19" fillId="2" fontId="1" numFmtId="165" xfId="0" applyBorder="1" applyFont="1" applyNumberFormat="1"/>
    <xf borderId="0" fillId="0" fontId="1" numFmtId="165" xfId="0" applyFont="1" applyNumberFormat="1"/>
    <xf borderId="1" fillId="2" fontId="10" numFmtId="0" xfId="0" applyAlignment="1" applyBorder="1" applyFont="1">
      <alignment horizontal="center"/>
    </xf>
    <xf borderId="3" fillId="2" fontId="11" numFmtId="0" xfId="0" applyBorder="1" applyFont="1"/>
    <xf borderId="3" fillId="2" fontId="1" numFmtId="165" xfId="0" applyBorder="1" applyFont="1" applyNumberFormat="1"/>
    <xf borderId="20" fillId="0" fontId="4" numFmtId="0" xfId="0" applyAlignment="1" applyBorder="1" applyFont="1">
      <alignment horizontal="center"/>
    </xf>
    <xf borderId="13" fillId="2" fontId="4" numFmtId="164" xfId="0" applyAlignment="1" applyBorder="1" applyFont="1" applyNumberFormat="1">
      <alignment vertical="center"/>
    </xf>
    <xf borderId="12" fillId="14" fontId="7" numFmtId="0" xfId="0" applyAlignment="1" applyBorder="1" applyFont="1">
      <alignment vertical="center"/>
    </xf>
    <xf borderId="21" fillId="0" fontId="4" numFmtId="0" xfId="0" applyAlignment="1" applyBorder="1" applyFont="1">
      <alignment horizontal="center"/>
    </xf>
    <xf borderId="13" fillId="14" fontId="7" numFmtId="0" xfId="0" applyAlignment="1" applyBorder="1" applyFont="1">
      <alignment vertical="center"/>
    </xf>
    <xf borderId="15" fillId="2" fontId="4" numFmtId="0" xfId="0" applyAlignment="1" applyBorder="1" applyFont="1">
      <alignment horizontal="center" shrinkToFit="0" vertical="center" wrapText="1"/>
    </xf>
    <xf borderId="22" fillId="2" fontId="4" numFmtId="0" xfId="0" applyAlignment="1" applyBorder="1" applyFont="1">
      <alignment horizontal="center"/>
    </xf>
    <xf borderId="17" fillId="2" fontId="4" numFmtId="0" xfId="0" applyAlignment="1" applyBorder="1" applyFont="1">
      <alignment horizontal="center" shrinkToFit="0" vertical="center" wrapText="1"/>
    </xf>
    <xf borderId="23" fillId="2" fontId="4" numFmtId="0" xfId="0" applyAlignment="1" applyBorder="1" applyFont="1">
      <alignment horizontal="center"/>
    </xf>
    <xf borderId="4" fillId="2" fontId="4" numFmtId="0" xfId="0" applyAlignment="1" applyBorder="1" applyFont="1">
      <alignment horizontal="center" vertical="center"/>
    </xf>
    <xf borderId="24" fillId="3" fontId="7" numFmtId="0" xfId="0" applyAlignment="1" applyBorder="1" applyFont="1">
      <alignment vertical="center"/>
    </xf>
    <xf borderId="24" fillId="4" fontId="7" numFmtId="0" xfId="0" applyAlignment="1" applyBorder="1" applyFont="1">
      <alignment vertical="center"/>
    </xf>
    <xf borderId="24" fillId="5" fontId="7" numFmtId="0" xfId="0" applyAlignment="1" applyBorder="1" applyFont="1">
      <alignment vertical="center"/>
    </xf>
    <xf borderId="24" fillId="6" fontId="8" numFmtId="0" xfId="0" applyAlignment="1" applyBorder="1" applyFont="1">
      <alignment vertical="center"/>
    </xf>
    <xf borderId="24" fillId="16" fontId="7" numFmtId="0" xfId="0" applyAlignment="1" applyBorder="1" applyFill="1" applyFont="1">
      <alignment vertical="center"/>
    </xf>
    <xf borderId="24" fillId="8" fontId="7" numFmtId="0" xfId="0" applyAlignment="1" applyBorder="1" applyFont="1">
      <alignment vertical="center"/>
    </xf>
    <xf borderId="24" fillId="9" fontId="7" numFmtId="0" xfId="0" applyAlignment="1" applyBorder="1" applyFont="1">
      <alignment vertical="center"/>
    </xf>
    <xf borderId="24" fillId="10" fontId="7" numFmtId="0" xfId="0" applyAlignment="1" applyBorder="1" applyFont="1">
      <alignment vertical="center"/>
    </xf>
    <xf borderId="24" fillId="11" fontId="7" numFmtId="0" xfId="0" applyAlignment="1" applyBorder="1" applyFont="1">
      <alignment vertical="center"/>
    </xf>
    <xf borderId="24" fillId="12" fontId="7" numFmtId="0" xfId="0" applyAlignment="1" applyBorder="1" applyFont="1">
      <alignment vertical="center"/>
    </xf>
    <xf borderId="24" fillId="13" fontId="7" numFmtId="0" xfId="0" applyAlignment="1" applyBorder="1" applyFont="1">
      <alignment vertical="center"/>
    </xf>
    <xf borderId="24" fillId="2" fontId="7" numFmtId="0" xfId="0" applyAlignment="1" applyBorder="1" applyFont="1">
      <alignment vertical="center"/>
    </xf>
    <xf borderId="24" fillId="14" fontId="7" numFmtId="0" xfId="0" applyAlignment="1" applyBorder="1" applyFont="1">
      <alignment vertical="center"/>
    </xf>
    <xf borderId="24" fillId="2" fontId="1" numFmtId="0" xfId="0" applyAlignment="1" applyBorder="1" applyFont="1">
      <alignment vertical="center"/>
    </xf>
    <xf borderId="25" fillId="2" fontId="1" numFmtId="165" xfId="0" applyAlignment="1" applyBorder="1" applyFont="1" applyNumberFormat="1">
      <alignment vertical="center"/>
    </xf>
    <xf borderId="13" fillId="2" fontId="1" numFmtId="0" xfId="0" applyBorder="1" applyFont="1"/>
    <xf borderId="13" fillId="2" fontId="1" numFmtId="165" xfId="0" applyBorder="1" applyFont="1" applyNumberFormat="1"/>
    <xf borderId="1" fillId="2" fontId="12" numFmtId="0" xfId="0" applyAlignment="1" applyBorder="1" applyFont="1">
      <alignment horizontal="center"/>
    </xf>
    <xf borderId="3" fillId="2" fontId="4" numFmtId="0" xfId="0" applyAlignment="1" applyBorder="1" applyFont="1">
      <alignment horizontal="center"/>
    </xf>
    <xf borderId="13" fillId="3" fontId="4" numFmtId="0" xfId="0" applyAlignment="1" applyBorder="1" applyFont="1">
      <alignment vertical="center"/>
    </xf>
    <xf borderId="13" fillId="4" fontId="4" numFmtId="0" xfId="0" applyAlignment="1" applyBorder="1" applyFont="1">
      <alignment vertical="center"/>
    </xf>
    <xf borderId="26" fillId="5" fontId="4" numFmtId="0" xfId="0" applyAlignment="1" applyBorder="1" applyFont="1">
      <alignment vertical="center"/>
    </xf>
    <xf borderId="13" fillId="6" fontId="5" numFmtId="0" xfId="0" applyAlignment="1" applyBorder="1" applyFont="1">
      <alignment vertical="center"/>
    </xf>
    <xf borderId="22" fillId="7" fontId="4" numFmtId="0" xfId="0" applyAlignment="1" applyBorder="1" applyFont="1">
      <alignment vertical="center"/>
    </xf>
    <xf borderId="13" fillId="8" fontId="4" numFmtId="0" xfId="0" applyAlignment="1" applyBorder="1" applyFont="1">
      <alignment vertical="center"/>
    </xf>
    <xf borderId="13" fillId="9" fontId="4" numFmtId="0" xfId="0" applyAlignment="1" applyBorder="1" applyFont="1">
      <alignment vertical="center"/>
    </xf>
    <xf borderId="13" fillId="10" fontId="4" numFmtId="0" xfId="0" applyAlignment="1" applyBorder="1" applyFont="1">
      <alignment vertical="center"/>
    </xf>
    <xf borderId="13" fillId="11" fontId="4" numFmtId="0" xfId="0" applyAlignment="1" applyBorder="1" applyFont="1">
      <alignment vertical="center"/>
    </xf>
    <xf borderId="13" fillId="12" fontId="4" numFmtId="0" xfId="0" applyAlignment="1" applyBorder="1" applyFont="1">
      <alignment vertical="center"/>
    </xf>
    <xf borderId="13" fillId="13" fontId="4" numFmtId="0" xfId="0" applyAlignment="1" applyBorder="1" applyFont="1">
      <alignment vertical="center"/>
    </xf>
    <xf borderId="13" fillId="2" fontId="4" numFmtId="0" xfId="0" applyAlignment="1" applyBorder="1" applyFont="1">
      <alignment vertical="center"/>
    </xf>
    <xf borderId="13" fillId="14" fontId="5" numFmtId="0" xfId="0" applyAlignment="1" applyBorder="1" applyFont="1">
      <alignment vertical="center"/>
    </xf>
    <xf borderId="3" fillId="2" fontId="1" numFmtId="167" xfId="0" applyBorder="1" applyFont="1" applyNumberFormat="1"/>
    <xf borderId="13" fillId="3" fontId="1" numFmtId="0" xfId="0" applyAlignment="1" applyBorder="1" applyFont="1">
      <alignment horizontal="center"/>
    </xf>
    <xf borderId="13" fillId="4" fontId="1" numFmtId="0" xfId="0" applyAlignment="1" applyBorder="1" applyFont="1">
      <alignment horizontal="center"/>
    </xf>
    <xf borderId="26" fillId="5" fontId="1" numFmtId="0" xfId="0" applyAlignment="1" applyBorder="1" applyFont="1">
      <alignment horizontal="center"/>
    </xf>
    <xf borderId="13" fillId="6" fontId="11" numFmtId="0" xfId="0" applyAlignment="1" applyBorder="1" applyFont="1">
      <alignment horizontal="center"/>
    </xf>
    <xf borderId="22" fillId="7" fontId="1" numFmtId="0" xfId="0" applyAlignment="1" applyBorder="1" applyFont="1">
      <alignment horizontal="center"/>
    </xf>
    <xf borderId="13" fillId="8" fontId="1" numFmtId="0" xfId="0" applyAlignment="1" applyBorder="1" applyFont="1">
      <alignment horizontal="center"/>
    </xf>
    <xf borderId="13" fillId="9" fontId="1" numFmtId="0" xfId="0" applyAlignment="1" applyBorder="1" applyFont="1">
      <alignment horizontal="center"/>
    </xf>
    <xf borderId="13" fillId="10" fontId="1" numFmtId="0" xfId="0" applyAlignment="1" applyBorder="1" applyFont="1">
      <alignment horizontal="center"/>
    </xf>
    <xf borderId="13" fillId="11" fontId="1" numFmtId="0" xfId="0" applyAlignment="1" applyBorder="1" applyFont="1">
      <alignment horizontal="center"/>
    </xf>
    <xf borderId="13" fillId="12" fontId="1" numFmtId="0" xfId="0" applyAlignment="1" applyBorder="1" applyFont="1">
      <alignment horizontal="center"/>
    </xf>
    <xf borderId="13" fillId="13" fontId="1" numFmtId="0" xfId="0" applyAlignment="1" applyBorder="1" applyFont="1">
      <alignment horizontal="center"/>
    </xf>
    <xf borderId="13" fillId="2" fontId="1" numFmtId="0" xfId="0" applyAlignment="1" applyBorder="1" applyFont="1">
      <alignment horizontal="center"/>
    </xf>
    <xf borderId="13" fillId="14" fontId="11" numFmtId="0" xfId="0" applyAlignment="1" applyBorder="1" applyFont="1">
      <alignment horizontal="center"/>
    </xf>
    <xf borderId="13" fillId="2" fontId="1" numFmtId="167" xfId="0" applyAlignment="1" applyBorder="1" applyFont="1" applyNumberFormat="1">
      <alignment horizontal="center"/>
    </xf>
    <xf borderId="13" fillId="2" fontId="11" numFmtId="0" xfId="0" applyBorder="1" applyFont="1"/>
    <xf borderId="26" fillId="5" fontId="7" numFmtId="0" xfId="0" applyAlignment="1" applyBorder="1" applyFont="1">
      <alignment vertical="center"/>
    </xf>
    <xf borderId="13" fillId="6" fontId="13" numFmtId="0" xfId="0" applyAlignment="1" applyBorder="1" applyFont="1">
      <alignment vertical="center"/>
    </xf>
    <xf borderId="22" fillId="7" fontId="7" numFmtId="0" xfId="0" applyAlignment="1" applyBorder="1" applyFont="1">
      <alignment vertical="center"/>
    </xf>
    <xf borderId="13" fillId="2" fontId="1" numFmtId="165" xfId="0" applyAlignment="1" applyBorder="1" applyFont="1" applyNumberFormat="1">
      <alignment vertical="center"/>
    </xf>
    <xf borderId="13" fillId="2" fontId="4" numFmtId="0" xfId="0" applyAlignment="1" applyBorder="1" applyFont="1">
      <alignment horizontal="center" shrinkToFit="0" vertical="center" wrapText="1"/>
    </xf>
    <xf borderId="13" fillId="2" fontId="4" numFmtId="164" xfId="0" applyAlignment="1" applyBorder="1" applyFont="1" applyNumberFormat="1">
      <alignment horizontal="center" readingOrder="0" vertical="center"/>
    </xf>
    <xf borderId="27" fillId="2" fontId="12" numFmtId="0" xfId="0" applyAlignment="1" applyBorder="1" applyFont="1">
      <alignment horizontal="center"/>
    </xf>
    <xf borderId="28" fillId="0" fontId="3" numFmtId="0" xfId="0" applyBorder="1" applyFont="1"/>
    <xf borderId="29" fillId="0" fontId="3" numFmtId="0" xfId="0" applyBorder="1" applyFont="1"/>
    <xf borderId="13" fillId="5" fontId="4" numFmtId="0" xfId="0" applyAlignment="1" applyBorder="1" applyFont="1">
      <alignment vertical="center"/>
    </xf>
    <xf borderId="13" fillId="7" fontId="4" numFmtId="0" xfId="0" applyAlignment="1" applyBorder="1" applyFont="1">
      <alignment vertical="center"/>
    </xf>
    <xf borderId="13" fillId="5" fontId="1" numFmtId="0" xfId="0" applyAlignment="1" applyBorder="1" applyFont="1">
      <alignment horizontal="center"/>
    </xf>
    <xf borderId="13" fillId="7" fontId="1" numFmtId="0" xfId="0" applyAlignment="1" applyBorder="1" applyFont="1">
      <alignment horizontal="center"/>
    </xf>
    <xf borderId="30" fillId="2" fontId="4" numFmtId="0" xfId="0" applyAlignment="1" applyBorder="1" applyFont="1">
      <alignment horizontal="center" vertical="center"/>
    </xf>
    <xf borderId="31" fillId="2" fontId="4" numFmtId="0" xfId="0" applyAlignment="1" applyBorder="1" applyFont="1">
      <alignment horizontal="center"/>
    </xf>
    <xf borderId="19" fillId="2" fontId="4" numFmtId="0" xfId="0" applyAlignment="1" applyBorder="1" applyFont="1">
      <alignment horizontal="center" vertical="center"/>
    </xf>
    <xf borderId="19" fillId="2" fontId="4" numFmtId="164" xfId="0" applyAlignment="1" applyBorder="1" applyFont="1" applyNumberFormat="1">
      <alignment readingOrder="0" vertical="center"/>
    </xf>
    <xf borderId="19" fillId="3" fontId="7" numFmtId="0" xfId="0" applyAlignment="1" applyBorder="1" applyFont="1">
      <alignment vertical="center"/>
    </xf>
    <xf borderId="19" fillId="4" fontId="7" numFmtId="0" xfId="0" applyAlignment="1" applyBorder="1" applyFont="1">
      <alignment vertical="center"/>
    </xf>
    <xf borderId="19" fillId="5" fontId="7" numFmtId="0" xfId="0" applyAlignment="1" applyBorder="1" applyFont="1">
      <alignment vertical="center"/>
    </xf>
    <xf borderId="19" fillId="6" fontId="8" numFmtId="0" xfId="0" applyAlignment="1" applyBorder="1" applyFont="1">
      <alignment vertical="center"/>
    </xf>
    <xf borderId="19" fillId="7" fontId="7" numFmtId="0" xfId="0" applyAlignment="1" applyBorder="1" applyFont="1">
      <alignment vertical="center"/>
    </xf>
    <xf borderId="19" fillId="8" fontId="7" numFmtId="0" xfId="0" applyAlignment="1" applyBorder="1" applyFont="1">
      <alignment vertical="center"/>
    </xf>
    <xf borderId="19" fillId="9" fontId="7" numFmtId="0" xfId="0" applyAlignment="1" applyBorder="1" applyFont="1">
      <alignment vertical="center"/>
    </xf>
    <xf borderId="19" fillId="10" fontId="7" numFmtId="0" xfId="0" applyAlignment="1" applyBorder="1" applyFont="1">
      <alignment vertical="center"/>
    </xf>
    <xf borderId="19" fillId="11" fontId="7" numFmtId="0" xfId="0" applyAlignment="1" applyBorder="1" applyFont="1">
      <alignment vertical="center"/>
    </xf>
    <xf borderId="19" fillId="12" fontId="7" numFmtId="0" xfId="0" applyAlignment="1" applyBorder="1" applyFont="1">
      <alignment vertical="center"/>
    </xf>
    <xf borderId="19" fillId="13" fontId="7" numFmtId="0" xfId="0" applyAlignment="1" applyBorder="1" applyFont="1">
      <alignment vertical="center"/>
    </xf>
    <xf borderId="19" fillId="2" fontId="7" numFmtId="0" xfId="0" applyAlignment="1" applyBorder="1" applyFont="1">
      <alignment vertical="center"/>
    </xf>
    <xf borderId="19" fillId="14" fontId="8" numFmtId="0" xfId="0" applyAlignment="1" applyBorder="1" applyFont="1">
      <alignment vertical="center"/>
    </xf>
    <xf borderId="19" fillId="2" fontId="1" numFmtId="0" xfId="0" applyAlignment="1" applyBorder="1" applyFont="1">
      <alignment vertical="center"/>
    </xf>
    <xf borderId="32" fillId="2" fontId="1" numFmtId="165" xfId="0" applyAlignment="1" applyBorder="1" applyFont="1" applyNumberFormat="1">
      <alignment vertical="center"/>
    </xf>
    <xf borderId="30" fillId="2" fontId="4" numFmtId="0" xfId="0" applyAlignment="1" applyBorder="1" applyFont="1">
      <alignment horizontal="center" shrinkToFit="0" vertical="center" wrapText="1"/>
    </xf>
    <xf borderId="19" fillId="2" fontId="4" numFmtId="164" xfId="0" applyAlignment="1" applyBorder="1" applyFont="1" applyNumberFormat="1">
      <alignment vertical="center"/>
    </xf>
    <xf borderId="13" fillId="2" fontId="14" numFmtId="0" xfId="0" applyAlignment="1" applyBorder="1" applyFont="1">
      <alignment horizontal="center" vertical="center"/>
    </xf>
    <xf borderId="33" fillId="2" fontId="4" numFmtId="0" xfId="0" applyAlignment="1" applyBorder="1" applyFont="1">
      <alignment horizontal="center" readingOrder="0" shrinkToFit="0" vertical="center" wrapText="1"/>
    </xf>
    <xf borderId="34" fillId="2" fontId="4" numFmtId="0" xfId="0" applyAlignment="1" applyBorder="1" applyFont="1">
      <alignment horizontal="center"/>
    </xf>
    <xf borderId="35" fillId="2" fontId="4" numFmtId="0" xfId="0" applyAlignment="1" applyBorder="1" applyFont="1">
      <alignment horizontal="center" readingOrder="0" vertical="center"/>
    </xf>
    <xf borderId="35" fillId="2" fontId="4" numFmtId="164" xfId="0" applyAlignment="1" applyBorder="1" applyFont="1" applyNumberFormat="1">
      <alignment readingOrder="0" vertical="center"/>
    </xf>
    <xf borderId="35" fillId="3" fontId="7" numFmtId="0" xfId="0" applyAlignment="1" applyBorder="1" applyFont="1">
      <alignment vertical="center"/>
    </xf>
    <xf borderId="35" fillId="4" fontId="7" numFmtId="0" xfId="0" applyAlignment="1" applyBorder="1" applyFont="1">
      <alignment vertical="center"/>
    </xf>
    <xf borderId="35" fillId="5" fontId="7" numFmtId="0" xfId="0" applyAlignment="1" applyBorder="1" applyFont="1">
      <alignment vertical="center"/>
    </xf>
    <xf borderId="35" fillId="6" fontId="8" numFmtId="0" xfId="0" applyAlignment="1" applyBorder="1" applyFont="1">
      <alignment vertical="center"/>
    </xf>
    <xf borderId="35" fillId="7" fontId="7" numFmtId="0" xfId="0" applyAlignment="1" applyBorder="1" applyFont="1">
      <alignment vertical="center"/>
    </xf>
    <xf borderId="35" fillId="8" fontId="7" numFmtId="0" xfId="0" applyAlignment="1" applyBorder="1" applyFont="1">
      <alignment vertical="center"/>
    </xf>
    <xf borderId="35" fillId="9" fontId="7" numFmtId="0" xfId="0" applyAlignment="1" applyBorder="1" applyFont="1">
      <alignment vertical="center"/>
    </xf>
    <xf borderId="35" fillId="10" fontId="7" numFmtId="0" xfId="0" applyAlignment="1" applyBorder="1" applyFont="1">
      <alignment vertical="center"/>
    </xf>
    <xf borderId="35" fillId="11" fontId="7" numFmtId="0" xfId="0" applyAlignment="1" applyBorder="1" applyFont="1">
      <alignment vertical="center"/>
    </xf>
    <xf borderId="35" fillId="12" fontId="7" numFmtId="0" xfId="0" applyAlignment="1" applyBorder="1" applyFont="1">
      <alignment vertical="center"/>
    </xf>
    <xf borderId="35" fillId="13" fontId="7" numFmtId="0" xfId="0" applyAlignment="1" applyBorder="1" applyFont="1">
      <alignment vertical="center"/>
    </xf>
    <xf borderId="35" fillId="2" fontId="7" numFmtId="0" xfId="0" applyAlignment="1" applyBorder="1" applyFont="1">
      <alignment vertical="center"/>
    </xf>
    <xf borderId="35" fillId="14" fontId="8" numFmtId="0" xfId="0" applyAlignment="1" applyBorder="1" applyFont="1">
      <alignment vertical="center"/>
    </xf>
    <xf borderId="35" fillId="2" fontId="1" numFmtId="0" xfId="0" applyAlignment="1" applyBorder="1" applyFont="1">
      <alignment vertical="center"/>
    </xf>
    <xf borderId="13" fillId="0" fontId="1" numFmtId="0" xfId="0" applyBorder="1" applyFont="1"/>
    <xf borderId="13" fillId="0" fontId="1" numFmtId="165" xfId="0" applyBorder="1" applyFont="1" applyNumberFormat="1"/>
    <xf borderId="19" fillId="3" fontId="1" numFmtId="0" xfId="0" applyAlignment="1" applyBorder="1" applyFont="1">
      <alignment horizontal="center"/>
    </xf>
    <xf borderId="19" fillId="4" fontId="1" numFmtId="0" xfId="0" applyAlignment="1" applyBorder="1" applyFont="1">
      <alignment horizontal="center"/>
    </xf>
    <xf borderId="19" fillId="5" fontId="1" numFmtId="0" xfId="0" applyAlignment="1" applyBorder="1" applyFont="1">
      <alignment horizontal="center"/>
    </xf>
    <xf borderId="19" fillId="6" fontId="11" numFmtId="0" xfId="0" applyAlignment="1" applyBorder="1" applyFont="1">
      <alignment horizontal="center"/>
    </xf>
    <xf borderId="19" fillId="7" fontId="1" numFmtId="0" xfId="0" applyAlignment="1" applyBorder="1" applyFont="1">
      <alignment horizontal="center"/>
    </xf>
    <xf borderId="19" fillId="8" fontId="1" numFmtId="0" xfId="0" applyAlignment="1" applyBorder="1" applyFont="1">
      <alignment horizontal="center"/>
    </xf>
    <xf borderId="19" fillId="9" fontId="1" numFmtId="0" xfId="0" applyAlignment="1" applyBorder="1" applyFont="1">
      <alignment horizontal="center"/>
    </xf>
    <xf borderId="19" fillId="10" fontId="1" numFmtId="0" xfId="0" applyAlignment="1" applyBorder="1" applyFont="1">
      <alignment horizontal="center"/>
    </xf>
    <xf borderId="19" fillId="11" fontId="1" numFmtId="0" xfId="0" applyAlignment="1" applyBorder="1" applyFont="1">
      <alignment horizontal="center"/>
    </xf>
    <xf borderId="19" fillId="12" fontId="1" numFmtId="0" xfId="0" applyAlignment="1" applyBorder="1" applyFont="1">
      <alignment horizontal="center"/>
    </xf>
    <xf borderId="19" fillId="13" fontId="1" numFmtId="0" xfId="0" applyAlignment="1" applyBorder="1" applyFont="1">
      <alignment horizontal="center"/>
    </xf>
    <xf borderId="19" fillId="2" fontId="1" numFmtId="0" xfId="0" applyAlignment="1" applyBorder="1" applyFont="1">
      <alignment horizontal="center"/>
    </xf>
    <xf borderId="19" fillId="14" fontId="11" numFmtId="0" xfId="0" applyAlignment="1" applyBorder="1" applyFont="1">
      <alignment horizontal="center"/>
    </xf>
    <xf borderId="11" fillId="0" fontId="4" numFmtId="0" xfId="0" applyAlignment="1" applyBorder="1" applyFont="1">
      <alignment horizontal="center" vertical="center"/>
    </xf>
    <xf borderId="13" fillId="2" fontId="4" numFmtId="168" xfId="0" applyAlignment="1" applyBorder="1" applyFont="1" applyNumberFormat="1">
      <alignment readingOrder="0" vertical="center"/>
    </xf>
    <xf borderId="36" fillId="0" fontId="1" numFmtId="0" xfId="0" applyAlignment="1" applyBorder="1" applyFont="1">
      <alignment vertical="center"/>
    </xf>
    <xf borderId="37" fillId="2" fontId="1" numFmtId="0" xfId="0" applyAlignment="1" applyBorder="1" applyFont="1">
      <alignment vertical="center"/>
    </xf>
    <xf borderId="38" fillId="0" fontId="1" numFmtId="0" xfId="0" applyAlignment="1" applyBorder="1" applyFont="1">
      <alignment vertical="center"/>
    </xf>
    <xf borderId="26" fillId="2" fontId="1" numFmtId="0" xfId="0" applyAlignment="1" applyBorder="1" applyFont="1">
      <alignment vertical="center"/>
    </xf>
    <xf borderId="13" fillId="16" fontId="7" numFmtId="0" xfId="0" applyAlignment="1" applyBorder="1" applyFont="1">
      <alignment vertical="center"/>
    </xf>
    <xf borderId="3" fillId="3" fontId="7" numFmtId="0" xfId="0" applyAlignment="1" applyBorder="1" applyFont="1">
      <alignment vertical="center"/>
    </xf>
    <xf borderId="22" fillId="2" fontId="4" numFmtId="0" xfId="0" applyAlignment="1" applyBorder="1" applyFont="1">
      <alignment horizontal="center" vertical="center"/>
    </xf>
    <xf borderId="17" fillId="2" fontId="4" numFmtId="0" xfId="0" applyAlignment="1" applyBorder="1" applyFont="1">
      <alignment horizontal="center" vertical="center"/>
    </xf>
    <xf borderId="24" fillId="7" fontId="7" numFmtId="0" xfId="0" applyAlignment="1" applyBorder="1" applyFont="1">
      <alignment vertical="center"/>
    </xf>
    <xf borderId="24" fillId="14" fontId="8" numFmtId="0" xfId="0" applyAlignment="1" applyBorder="1" applyFont="1">
      <alignment vertical="center"/>
    </xf>
    <xf borderId="3" fillId="2" fontId="1" numFmtId="169" xfId="0" applyBorder="1" applyFont="1" applyNumberFormat="1"/>
    <xf borderId="13" fillId="2" fontId="4" numFmtId="164" xfId="0" applyAlignment="1" applyBorder="1" applyFont="1" applyNumberFormat="1">
      <alignment horizontal="center" vertical="center"/>
    </xf>
    <xf borderId="13" fillId="2" fontId="15" numFmtId="0" xfId="0" applyAlignment="1" applyBorder="1" applyFont="1">
      <alignment horizontal="center" shrinkToFit="0" vertical="center" wrapText="1"/>
    </xf>
    <xf borderId="13" fillId="0" fontId="15" numFmtId="0" xfId="0" applyAlignment="1" applyBorder="1" applyFont="1">
      <alignment horizontal="center" vertical="center"/>
    </xf>
    <xf borderId="13" fillId="0" fontId="4" numFmtId="164" xfId="0" applyAlignment="1" applyBorder="1" applyFont="1" applyNumberFormat="1">
      <alignment horizontal="center" readingOrder="0" vertical="center"/>
    </xf>
    <xf borderId="13" fillId="0" fontId="10" numFmtId="0" xfId="0" applyAlignment="1" applyBorder="1" applyFont="1">
      <alignment horizontal="center"/>
    </xf>
    <xf borderId="13" fillId="0" fontId="4" numFmtId="164" xfId="0" applyAlignment="1" applyBorder="1" applyFont="1" applyNumberFormat="1">
      <alignment horizontal="center" vertical="center"/>
    </xf>
    <xf borderId="0" fillId="0" fontId="2" numFmtId="0" xfId="0" applyAlignment="1" applyFont="1">
      <alignment horizontal="center"/>
    </xf>
    <xf borderId="39" fillId="2" fontId="4" numFmtId="0" xfId="0" applyAlignment="1" applyBorder="1" applyFont="1">
      <alignment horizontal="center"/>
    </xf>
    <xf borderId="39" fillId="2" fontId="1" numFmtId="164" xfId="0" applyBorder="1" applyFont="1" applyNumberFormat="1"/>
    <xf borderId="39" fillId="2" fontId="1" numFmtId="0" xfId="0" applyBorder="1" applyFont="1"/>
    <xf borderId="39" fillId="2" fontId="11" numFmtId="0" xfId="0" applyBorder="1" applyFont="1"/>
    <xf borderId="39" fillId="2" fontId="1" numFmtId="167" xfId="0" applyBorder="1" applyFont="1" applyNumberFormat="1"/>
    <xf borderId="19" fillId="16" fontId="7" numFmtId="0" xfId="0" applyAlignment="1" applyBorder="1" applyFont="1">
      <alignment vertical="center"/>
    </xf>
    <xf borderId="11" fillId="2" fontId="4" numFmtId="0" xfId="0" applyAlignment="1" applyBorder="1" applyFont="1">
      <alignment horizontal="center" vertical="center"/>
    </xf>
    <xf borderId="40" fillId="2" fontId="4" numFmtId="0" xfId="0" applyAlignment="1" applyBorder="1" applyFont="1">
      <alignment horizontal="center"/>
    </xf>
    <xf borderId="12" fillId="2" fontId="4" numFmtId="0" xfId="0" applyAlignment="1" applyBorder="1" applyFont="1">
      <alignment horizontal="center" vertical="center"/>
    </xf>
    <xf borderId="12" fillId="2" fontId="1" numFmtId="0" xfId="0" applyAlignment="1" applyBorder="1" applyFont="1">
      <alignment vertical="center"/>
    </xf>
    <xf borderId="14" fillId="2" fontId="1" numFmtId="165" xfId="0" applyAlignment="1" applyBorder="1" applyFont="1" applyNumberFormat="1">
      <alignment vertical="center"/>
    </xf>
    <xf borderId="41" fillId="2" fontId="4" numFmtId="0" xfId="0" applyAlignment="1" applyBorder="1" applyFont="1">
      <alignment horizontal="center" vertical="center"/>
    </xf>
    <xf borderId="42" fillId="2" fontId="4" numFmtId="0" xfId="0" applyAlignment="1" applyBorder="1" applyFont="1">
      <alignment horizontal="center"/>
    </xf>
    <xf borderId="24" fillId="2" fontId="4" numFmtId="0" xfId="0" applyAlignment="1" applyBorder="1" applyFont="1">
      <alignment horizontal="center" vertical="center"/>
    </xf>
    <xf borderId="0" fillId="0" fontId="10" numFmtId="0" xfId="0" applyAlignment="1" applyFont="1">
      <alignment horizontal="center"/>
    </xf>
    <xf borderId="3" fillId="2" fontId="16" numFmtId="0" xfId="0" applyAlignment="1" applyBorder="1" applyFont="1">
      <alignment horizontal="center"/>
    </xf>
    <xf borderId="3" fillId="2" fontId="17" numFmtId="0" xfId="0" applyAlignment="1" applyBorder="1" applyFont="1">
      <alignment horizontal="center"/>
    </xf>
    <xf borderId="3" fillId="2" fontId="17" numFmtId="164" xfId="0" applyAlignment="1" applyBorder="1" applyFont="1" applyNumberFormat="1">
      <alignment horizontal="center"/>
    </xf>
    <xf borderId="43" fillId="2" fontId="4" numFmtId="0" xfId="0" applyAlignment="1" applyBorder="1" applyFont="1">
      <alignment horizontal="center"/>
    </xf>
    <xf borderId="44" fillId="0" fontId="3" numFmtId="0" xfId="0" applyBorder="1" applyFont="1"/>
    <xf borderId="40" fillId="2" fontId="4" numFmtId="0" xfId="0" applyAlignment="1" applyBorder="1" applyFont="1">
      <alignment horizontal="center" vertical="center"/>
    </xf>
    <xf borderId="12" fillId="3" fontId="1" numFmtId="0" xfId="0" applyAlignment="1" applyBorder="1" applyFont="1">
      <alignment vertical="center"/>
    </xf>
    <xf borderId="12" fillId="4" fontId="1" numFmtId="0" xfId="0" applyAlignment="1" applyBorder="1" applyFont="1">
      <alignment vertical="center"/>
    </xf>
    <xf borderId="12" fillId="5" fontId="1" numFmtId="0" xfId="0" applyAlignment="1" applyBorder="1" applyFont="1">
      <alignment vertical="center"/>
    </xf>
    <xf borderId="12" fillId="6" fontId="11" numFmtId="0" xfId="0" applyAlignment="1" applyBorder="1" applyFont="1">
      <alignment vertical="center"/>
    </xf>
    <xf borderId="12" fillId="7" fontId="1" numFmtId="0" xfId="0" applyAlignment="1" applyBorder="1" applyFont="1">
      <alignment vertical="center"/>
    </xf>
    <xf borderId="12" fillId="8" fontId="1" numFmtId="0" xfId="0" applyAlignment="1" applyBorder="1" applyFont="1">
      <alignment vertical="center"/>
    </xf>
    <xf borderId="12" fillId="9" fontId="1" numFmtId="0" xfId="0" applyAlignment="1" applyBorder="1" applyFont="1">
      <alignment vertical="center"/>
    </xf>
    <xf borderId="12" fillId="10" fontId="1" numFmtId="0" xfId="0" applyAlignment="1" applyBorder="1" applyFont="1">
      <alignment vertical="center"/>
    </xf>
    <xf borderId="12" fillId="11" fontId="1" numFmtId="0" xfId="0" applyAlignment="1" applyBorder="1" applyFont="1">
      <alignment vertical="center"/>
    </xf>
    <xf borderId="12" fillId="12" fontId="1" numFmtId="0" xfId="0" applyAlignment="1" applyBorder="1" applyFont="1">
      <alignment vertical="center"/>
    </xf>
    <xf borderId="12" fillId="13" fontId="1" numFmtId="0" xfId="0" applyAlignment="1" applyBorder="1" applyFont="1">
      <alignment vertical="center"/>
    </xf>
    <xf borderId="12" fillId="14" fontId="11" numFmtId="0" xfId="0" applyAlignment="1" applyBorder="1" applyFont="1">
      <alignment vertical="center"/>
    </xf>
    <xf borderId="13" fillId="3" fontId="1" numFmtId="0" xfId="0" applyAlignment="1" applyBorder="1" applyFont="1">
      <alignment vertical="center"/>
    </xf>
    <xf borderId="13" fillId="4" fontId="1" numFmtId="0" xfId="0" applyAlignment="1" applyBorder="1" applyFont="1">
      <alignment vertical="center"/>
    </xf>
    <xf borderId="13" fillId="5" fontId="1" numFmtId="0" xfId="0" applyAlignment="1" applyBorder="1" applyFont="1">
      <alignment vertical="center"/>
    </xf>
    <xf borderId="13" fillId="6" fontId="11" numFmtId="0" xfId="0" applyAlignment="1" applyBorder="1" applyFont="1">
      <alignment vertical="center"/>
    </xf>
    <xf borderId="13" fillId="7" fontId="1" numFmtId="0" xfId="0" applyAlignment="1" applyBorder="1" applyFont="1">
      <alignment vertical="center"/>
    </xf>
    <xf borderId="13" fillId="8" fontId="1" numFmtId="0" xfId="0" applyAlignment="1" applyBorder="1" applyFont="1">
      <alignment vertical="center"/>
    </xf>
    <xf borderId="13" fillId="9" fontId="1" numFmtId="0" xfId="0" applyAlignment="1" applyBorder="1" applyFont="1">
      <alignment vertical="center"/>
    </xf>
    <xf borderId="13" fillId="10" fontId="1" numFmtId="0" xfId="0" applyAlignment="1" applyBorder="1" applyFont="1">
      <alignment vertical="center"/>
    </xf>
    <xf borderId="13" fillId="11" fontId="1" numFmtId="0" xfId="0" applyAlignment="1" applyBorder="1" applyFont="1">
      <alignment vertical="center"/>
    </xf>
    <xf borderId="13" fillId="12" fontId="1" numFmtId="0" xfId="0" applyAlignment="1" applyBorder="1" applyFont="1">
      <alignment vertical="center"/>
    </xf>
    <xf borderId="13" fillId="13" fontId="1" numFmtId="0" xfId="0" applyAlignment="1" applyBorder="1" applyFont="1">
      <alignment vertical="center"/>
    </xf>
    <xf borderId="13" fillId="14" fontId="11" numFmtId="0" xfId="0" applyAlignment="1" applyBorder="1" applyFont="1">
      <alignment vertical="center"/>
    </xf>
    <xf borderId="23" fillId="2" fontId="4" numFmtId="0" xfId="0" applyAlignment="1" applyBorder="1" applyFont="1">
      <alignment horizontal="center" vertical="center"/>
    </xf>
    <xf borderId="4" fillId="3" fontId="1" numFmtId="0" xfId="0" applyAlignment="1" applyBorder="1" applyFont="1">
      <alignment vertical="center"/>
    </xf>
    <xf borderId="4" fillId="4" fontId="1" numFmtId="0" xfId="0" applyAlignment="1" applyBorder="1" applyFont="1">
      <alignment vertical="center"/>
    </xf>
    <xf borderId="4" fillId="5" fontId="1" numFmtId="0" xfId="0" applyAlignment="1" applyBorder="1" applyFont="1">
      <alignment vertical="center"/>
    </xf>
    <xf borderId="4" fillId="6" fontId="11" numFmtId="0" xfId="0" applyAlignment="1" applyBorder="1" applyFont="1">
      <alignment vertical="center"/>
    </xf>
    <xf borderId="4" fillId="7" fontId="1" numFmtId="0" xfId="0" applyAlignment="1" applyBorder="1" applyFont="1">
      <alignment vertical="center"/>
    </xf>
    <xf borderId="4" fillId="8" fontId="1" numFmtId="0" xfId="0" applyAlignment="1" applyBorder="1" applyFont="1">
      <alignment vertical="center"/>
    </xf>
    <xf borderId="4" fillId="9" fontId="1" numFmtId="0" xfId="0" applyAlignment="1" applyBorder="1" applyFont="1">
      <alignment vertical="center"/>
    </xf>
    <xf borderId="4" fillId="10" fontId="1" numFmtId="0" xfId="0" applyAlignment="1" applyBorder="1" applyFont="1">
      <alignment vertical="center"/>
    </xf>
    <xf borderId="4" fillId="11" fontId="1" numFmtId="0" xfId="0" applyAlignment="1" applyBorder="1" applyFont="1">
      <alignment vertical="center"/>
    </xf>
    <xf borderId="4" fillId="12" fontId="1" numFmtId="0" xfId="0" applyAlignment="1" applyBorder="1" applyFont="1">
      <alignment vertical="center"/>
    </xf>
    <xf borderId="4" fillId="13" fontId="1" numFmtId="0" xfId="0" applyAlignment="1" applyBorder="1" applyFont="1">
      <alignment vertical="center"/>
    </xf>
    <xf borderId="4" fillId="2" fontId="1" numFmtId="0" xfId="0" applyAlignment="1" applyBorder="1" applyFont="1">
      <alignment vertical="center"/>
    </xf>
    <xf borderId="4" fillId="14" fontId="11" numFmtId="0" xfId="0" applyAlignment="1" applyBorder="1" applyFont="1">
      <alignment vertical="center"/>
    </xf>
    <xf borderId="18" fillId="2" fontId="1" numFmtId="165" xfId="0" applyAlignment="1" applyBorder="1" applyFont="1" applyNumberFormat="1">
      <alignment vertical="center"/>
    </xf>
    <xf borderId="0" fillId="0" fontId="1" numFmtId="164" xfId="0" applyAlignment="1" applyFont="1" applyNumberFormat="1">
      <alignment horizontal="center"/>
    </xf>
    <xf borderId="0" fillId="0" fontId="11" numFmtId="0" xfId="0" applyFont="1"/>
    <xf borderId="3" fillId="2" fontId="1" numFmtId="0" xfId="0" applyAlignment="1" applyBorder="1" applyFont="1">
      <alignment horizontal="center"/>
    </xf>
    <xf borderId="1" fillId="2" fontId="4" numFmtId="0" xfId="0" applyAlignment="1" applyBorder="1" applyFont="1">
      <alignment horizontal="center"/>
    </xf>
    <xf borderId="3" fillId="2" fontId="1" numFmtId="164" xfId="0" applyAlignment="1" applyBorder="1" applyFont="1" applyNumberFormat="1">
      <alignment horizontal="center"/>
    </xf>
    <xf borderId="33" fillId="2" fontId="4" numFmtId="0" xfId="0" applyAlignment="1" applyBorder="1" applyFont="1">
      <alignment horizontal="center" shrinkToFit="0" vertical="center" wrapText="1"/>
    </xf>
    <xf borderId="35" fillId="2" fontId="4" numFmtId="0" xfId="0" applyAlignment="1" applyBorder="1" applyFont="1">
      <alignment horizontal="center" vertical="center"/>
    </xf>
    <xf borderId="35" fillId="3" fontId="1" numFmtId="0" xfId="0" applyAlignment="1" applyBorder="1" applyFont="1">
      <alignment vertical="center"/>
    </xf>
    <xf borderId="35" fillId="4" fontId="1" numFmtId="0" xfId="0" applyAlignment="1" applyBorder="1" applyFont="1">
      <alignment vertical="center"/>
    </xf>
    <xf borderId="35" fillId="5" fontId="1" numFmtId="0" xfId="0" applyAlignment="1" applyBorder="1" applyFont="1">
      <alignment vertical="center"/>
    </xf>
    <xf borderId="35" fillId="6" fontId="11" numFmtId="0" xfId="0" applyAlignment="1" applyBorder="1" applyFont="1">
      <alignment vertical="center"/>
    </xf>
    <xf borderId="35" fillId="7" fontId="1" numFmtId="0" xfId="0" applyAlignment="1" applyBorder="1" applyFont="1">
      <alignment vertical="center"/>
    </xf>
    <xf borderId="35" fillId="8" fontId="1" numFmtId="0" xfId="0" applyAlignment="1" applyBorder="1" applyFont="1">
      <alignment vertical="center"/>
    </xf>
    <xf borderId="35" fillId="9" fontId="1" numFmtId="0" xfId="0" applyAlignment="1" applyBorder="1" applyFont="1">
      <alignment vertical="center"/>
    </xf>
    <xf borderId="35" fillId="10" fontId="1" numFmtId="0" xfId="0" applyAlignment="1" applyBorder="1" applyFont="1">
      <alignment vertical="center"/>
    </xf>
    <xf borderId="35" fillId="11" fontId="1" numFmtId="0" xfId="0" applyAlignment="1" applyBorder="1" applyFont="1">
      <alignment vertical="center"/>
    </xf>
    <xf borderId="35" fillId="12" fontId="1" numFmtId="0" xfId="0" applyAlignment="1" applyBorder="1" applyFont="1">
      <alignment vertical="center"/>
    </xf>
    <xf borderId="35" fillId="13" fontId="1" numFmtId="0" xfId="0" applyAlignment="1" applyBorder="1" applyFont="1">
      <alignment vertical="center"/>
    </xf>
    <xf borderId="35" fillId="14" fontId="11" numFmtId="0" xfId="0" applyAlignment="1" applyBorder="1" applyFont="1">
      <alignment vertical="center"/>
    </xf>
    <xf borderId="5" fillId="2" fontId="1" numFmtId="0" xfId="0" applyBorder="1" applyFont="1"/>
    <xf borderId="7" fillId="0" fontId="1" numFmtId="0" xfId="0" applyBorder="1" applyFont="1"/>
    <xf borderId="7" fillId="2" fontId="1" numFmtId="0" xfId="0" applyBorder="1" applyFont="1"/>
    <xf borderId="10" fillId="2" fontId="1" numFmtId="165" xfId="0" applyBorder="1" applyFont="1" applyNumberFormat="1"/>
    <xf borderId="0" fillId="0" fontId="18" numFmtId="0" xfId="0" applyAlignment="1" applyFont="1">
      <alignment horizontal="center"/>
    </xf>
    <xf borderId="0" fillId="0" fontId="1" numFmtId="0" xfId="0" applyAlignment="1" applyFont="1">
      <alignment vertical="center"/>
    </xf>
    <xf borderId="7" fillId="3" fontId="4" numFmtId="0" xfId="0" applyAlignment="1" applyBorder="1" applyFont="1">
      <alignment horizontal="center"/>
    </xf>
    <xf borderId="7" fillId="4" fontId="4" numFmtId="0" xfId="0" applyAlignment="1" applyBorder="1" applyFont="1">
      <alignment horizontal="center"/>
    </xf>
    <xf borderId="7" fillId="5" fontId="4" numFmtId="0" xfId="0" applyAlignment="1" applyBorder="1" applyFont="1">
      <alignment horizontal="center"/>
    </xf>
    <xf borderId="7" fillId="6" fontId="5" numFmtId="0" xfId="0" applyAlignment="1" applyBorder="1" applyFont="1">
      <alignment horizontal="center"/>
    </xf>
    <xf borderId="7" fillId="7" fontId="4" numFmtId="0" xfId="0" applyAlignment="1" applyBorder="1" applyFont="1">
      <alignment horizontal="center"/>
    </xf>
    <xf borderId="7" fillId="8" fontId="4" numFmtId="0" xfId="0" applyAlignment="1" applyBorder="1" applyFont="1">
      <alignment horizontal="center"/>
    </xf>
    <xf borderId="7" fillId="9" fontId="4" numFmtId="0" xfId="0" applyAlignment="1" applyBorder="1" applyFont="1">
      <alignment horizontal="center"/>
    </xf>
    <xf borderId="7" fillId="10" fontId="4" numFmtId="0" xfId="0" applyAlignment="1" applyBorder="1" applyFont="1">
      <alignment horizontal="center"/>
    </xf>
    <xf borderId="7" fillId="14" fontId="5" numFmtId="0" xfId="0" applyAlignment="1" applyBorder="1" applyFont="1">
      <alignment horizontal="center"/>
    </xf>
    <xf borderId="7" fillId="15" fontId="4" numFmtId="0" xfId="0" applyAlignment="1" applyBorder="1" applyFont="1">
      <alignment horizontal="center"/>
    </xf>
    <xf borderId="7" fillId="2" fontId="4" numFmtId="0" xfId="0" applyAlignment="1" applyBorder="1" applyFont="1">
      <alignment horizontal="center"/>
    </xf>
    <xf borderId="0" fillId="0" fontId="4" numFmtId="0" xfId="0" applyFont="1"/>
    <xf borderId="45" fillId="0" fontId="19" numFmtId="0" xfId="0" applyAlignment="1" applyBorder="1" applyFont="1">
      <alignment horizontal="left" vertical="center"/>
    </xf>
    <xf borderId="46" fillId="0" fontId="3" numFmtId="0" xfId="0" applyBorder="1" applyFont="1"/>
    <xf borderId="47" fillId="0" fontId="20" numFmtId="0" xfId="0" applyAlignment="1" applyBorder="1" applyFont="1">
      <alignment horizontal="center" vertical="center"/>
    </xf>
    <xf borderId="47" fillId="0" fontId="21" numFmtId="0" xfId="0" applyAlignment="1" applyBorder="1" applyFont="1">
      <alignment horizontal="center" vertical="center"/>
    </xf>
    <xf borderId="47" fillId="0" fontId="3" numFmtId="0" xfId="0" applyBorder="1" applyFont="1"/>
    <xf borderId="48" fillId="0" fontId="22" numFmtId="164" xfId="0" applyAlignment="1" applyBorder="1" applyFont="1" applyNumberFormat="1">
      <alignment vertical="center"/>
    </xf>
    <xf borderId="48" fillId="3" fontId="20" numFmtId="0" xfId="0" applyAlignment="1" applyBorder="1" applyFont="1">
      <alignment horizontal="center" vertical="center"/>
    </xf>
    <xf borderId="48" fillId="4" fontId="20" numFmtId="0" xfId="0" applyAlignment="1" applyBorder="1" applyFont="1">
      <alignment horizontal="center" vertical="center"/>
    </xf>
    <xf borderId="48" fillId="5" fontId="20" numFmtId="0" xfId="0" applyAlignment="1" applyBorder="1" applyFont="1">
      <alignment horizontal="center" vertical="center"/>
    </xf>
    <xf borderId="48" fillId="6" fontId="23" numFmtId="0" xfId="0" applyAlignment="1" applyBorder="1" applyFont="1">
      <alignment horizontal="center" vertical="center"/>
    </xf>
    <xf borderId="48" fillId="16" fontId="20" numFmtId="0" xfId="0" applyAlignment="1" applyBorder="1" applyFont="1">
      <alignment horizontal="center" vertical="center"/>
    </xf>
    <xf borderId="48" fillId="17" fontId="20" numFmtId="0" xfId="0" applyAlignment="1" applyBorder="1" applyFill="1" applyFont="1">
      <alignment horizontal="center" vertical="center"/>
    </xf>
    <xf borderId="48" fillId="9" fontId="20" numFmtId="0" xfId="0" applyAlignment="1" applyBorder="1" applyFont="1">
      <alignment horizontal="center" vertical="center"/>
    </xf>
    <xf borderId="48" fillId="10" fontId="20" numFmtId="0" xfId="0" applyAlignment="1" applyBorder="1" applyFont="1">
      <alignment horizontal="center" vertical="center"/>
    </xf>
    <xf borderId="48" fillId="14" fontId="23" numFmtId="0" xfId="0" applyAlignment="1" applyBorder="1" applyFont="1">
      <alignment horizontal="center" vertical="center"/>
    </xf>
    <xf borderId="48" fillId="15" fontId="20" numFmtId="0" xfId="0" applyAlignment="1" applyBorder="1" applyFont="1">
      <alignment horizontal="center" vertical="center"/>
    </xf>
    <xf borderId="48" fillId="0" fontId="20" numFmtId="0" xfId="0" applyAlignment="1" applyBorder="1" applyFont="1">
      <alignment horizontal="center" vertical="center"/>
    </xf>
    <xf borderId="48" fillId="0" fontId="22" numFmtId="0" xfId="0" applyAlignment="1" applyBorder="1" applyFont="1">
      <alignment horizontal="center" vertical="center"/>
    </xf>
    <xf borderId="49" fillId="0" fontId="22" numFmtId="165" xfId="0" applyAlignment="1" applyBorder="1" applyFont="1" applyNumberFormat="1">
      <alignment horizontal="center" vertical="center"/>
    </xf>
    <xf borderId="33" fillId="0" fontId="20" numFmtId="0" xfId="0" applyAlignment="1" applyBorder="1" applyFont="1">
      <alignment horizontal="center" shrinkToFit="0" vertical="center" wrapText="1"/>
    </xf>
    <xf borderId="35" fillId="0" fontId="1" numFmtId="0" xfId="0" applyBorder="1" applyFont="1"/>
    <xf borderId="35" fillId="0" fontId="1" numFmtId="0" xfId="0" applyAlignment="1" applyBorder="1" applyFont="1">
      <alignment horizontal="center" vertical="center"/>
    </xf>
    <xf borderId="35" fillId="0" fontId="1" numFmtId="0" xfId="0" applyAlignment="1" applyBorder="1" applyFont="1">
      <alignment horizontal="center" shrinkToFit="0" vertical="center" wrapText="1"/>
    </xf>
    <xf borderId="35" fillId="0" fontId="4" numFmtId="0" xfId="0" applyAlignment="1" applyBorder="1" applyFont="1">
      <alignment horizontal="center" shrinkToFit="0" vertical="center" wrapText="1"/>
    </xf>
    <xf borderId="35" fillId="0" fontId="4" numFmtId="164" xfId="0" applyAlignment="1" applyBorder="1" applyFont="1" applyNumberFormat="1">
      <alignment vertical="center"/>
    </xf>
    <xf borderId="19" fillId="3" fontId="1" numFmtId="0" xfId="0" applyAlignment="1" applyBorder="1" applyFont="1">
      <alignment horizontal="center" vertical="center"/>
    </xf>
    <xf borderId="19" fillId="4" fontId="1" numFmtId="0" xfId="0" applyAlignment="1" applyBorder="1" applyFont="1">
      <alignment horizontal="center" vertical="center"/>
    </xf>
    <xf borderId="19" fillId="5" fontId="1" numFmtId="0" xfId="0" applyAlignment="1" applyBorder="1" applyFont="1">
      <alignment horizontal="center" vertical="center"/>
    </xf>
    <xf borderId="19" fillId="6" fontId="11" numFmtId="0" xfId="0" applyAlignment="1" applyBorder="1" applyFont="1">
      <alignment horizontal="center" vertical="center"/>
    </xf>
    <xf borderId="19" fillId="16" fontId="1" numFmtId="0" xfId="0" applyAlignment="1" applyBorder="1" applyFont="1">
      <alignment horizontal="center" vertical="center"/>
    </xf>
    <xf borderId="19" fillId="17" fontId="1" numFmtId="0" xfId="0" applyAlignment="1" applyBorder="1" applyFont="1">
      <alignment horizontal="center" vertical="center"/>
    </xf>
    <xf borderId="19" fillId="9" fontId="1" numFmtId="0" xfId="0" applyAlignment="1" applyBorder="1" applyFont="1">
      <alignment horizontal="center" vertical="center"/>
    </xf>
    <xf borderId="19" fillId="10" fontId="1" numFmtId="0" xfId="0" applyAlignment="1" applyBorder="1" applyFont="1">
      <alignment horizontal="center" vertical="center"/>
    </xf>
    <xf borderId="19" fillId="14" fontId="11" numFmtId="0" xfId="0" applyAlignment="1" applyBorder="1" applyFont="1">
      <alignment horizontal="center" vertical="center"/>
    </xf>
    <xf borderId="19" fillId="15" fontId="1" numFmtId="0" xfId="0" applyAlignment="1" applyBorder="1" applyFont="1">
      <alignment horizontal="center" vertical="center"/>
    </xf>
    <xf borderId="50" fillId="0" fontId="1" numFmtId="165" xfId="0" applyAlignment="1" applyBorder="1" applyFont="1" applyNumberFormat="1">
      <alignment horizontal="center" vertical="center"/>
    </xf>
    <xf borderId="15" fillId="0" fontId="20" numFmtId="0" xfId="0" applyAlignment="1" applyBorder="1" applyFont="1">
      <alignment horizontal="center" shrinkToFit="0" vertical="center" wrapText="1"/>
    </xf>
    <xf borderId="13" fillId="0" fontId="14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borderId="13" fillId="0" fontId="4" numFmtId="164" xfId="0" applyAlignment="1" applyBorder="1" applyFont="1" applyNumberFormat="1">
      <alignment vertical="center"/>
    </xf>
    <xf borderId="13" fillId="3" fontId="1" numFmtId="0" xfId="0" applyAlignment="1" applyBorder="1" applyFont="1">
      <alignment horizontal="center" vertical="center"/>
    </xf>
    <xf borderId="13" fillId="4" fontId="1" numFmtId="0" xfId="0" applyAlignment="1" applyBorder="1" applyFont="1">
      <alignment horizontal="center" vertical="center"/>
    </xf>
    <xf borderId="13" fillId="5" fontId="1" numFmtId="0" xfId="0" applyAlignment="1" applyBorder="1" applyFont="1">
      <alignment horizontal="center" vertical="center"/>
    </xf>
    <xf borderId="13" fillId="6" fontId="11" numFmtId="0" xfId="0" applyAlignment="1" applyBorder="1" applyFont="1">
      <alignment horizontal="center" vertical="center"/>
    </xf>
    <xf borderId="13" fillId="16" fontId="1" numFmtId="0" xfId="0" applyAlignment="1" applyBorder="1" applyFont="1">
      <alignment horizontal="center" vertical="center"/>
    </xf>
    <xf borderId="13" fillId="17" fontId="1" numFmtId="0" xfId="0" applyAlignment="1" applyBorder="1" applyFont="1">
      <alignment horizontal="center" vertical="center"/>
    </xf>
    <xf borderId="13" fillId="9" fontId="1" numFmtId="0" xfId="0" applyAlignment="1" applyBorder="1" applyFont="1">
      <alignment horizontal="center" vertical="center"/>
    </xf>
    <xf borderId="13" fillId="10" fontId="1" numFmtId="0" xfId="0" applyAlignment="1" applyBorder="1" applyFont="1">
      <alignment horizontal="center" vertical="center"/>
    </xf>
    <xf borderId="13" fillId="14" fontId="11" numFmtId="0" xfId="0" applyAlignment="1" applyBorder="1" applyFont="1">
      <alignment horizontal="center" vertical="center"/>
    </xf>
    <xf borderId="13" fillId="15" fontId="1" numFmtId="0" xfId="0" applyAlignment="1" applyBorder="1" applyFont="1">
      <alignment horizontal="center" vertical="center"/>
    </xf>
    <xf borderId="16" fillId="0" fontId="1" numFmtId="165" xfId="0" applyAlignment="1" applyBorder="1" applyFont="1" applyNumberFormat="1">
      <alignment horizontal="center" vertical="center"/>
    </xf>
    <xf borderId="45" fillId="0" fontId="19" numFmtId="0" xfId="0" applyAlignment="1" applyBorder="1" applyFont="1">
      <alignment horizontal="center" shrinkToFit="0" vertical="center" wrapText="1"/>
    </xf>
    <xf borderId="47" fillId="0" fontId="22" numFmtId="0" xfId="0" applyAlignment="1" applyBorder="1" applyFont="1">
      <alignment horizontal="center" vertical="center"/>
    </xf>
    <xf borderId="47" fillId="0" fontId="24" numFmtId="0" xfId="0" applyAlignment="1" applyBorder="1" applyFont="1">
      <alignment horizontal="center" vertical="center"/>
    </xf>
    <xf borderId="48" fillId="3" fontId="22" numFmtId="0" xfId="0" applyAlignment="1" applyBorder="1" applyFont="1">
      <alignment horizontal="center" vertical="center"/>
    </xf>
    <xf borderId="48" fillId="4" fontId="22" numFmtId="0" xfId="0" applyAlignment="1" applyBorder="1" applyFont="1">
      <alignment horizontal="center" vertical="center"/>
    </xf>
    <xf borderId="48" fillId="5" fontId="22" numFmtId="0" xfId="0" applyAlignment="1" applyBorder="1" applyFont="1">
      <alignment horizontal="center" vertical="center"/>
    </xf>
    <xf borderId="48" fillId="6" fontId="25" numFmtId="0" xfId="0" applyAlignment="1" applyBorder="1" applyFont="1">
      <alignment horizontal="center" vertical="center"/>
    </xf>
    <xf borderId="48" fillId="16" fontId="22" numFmtId="0" xfId="0" applyAlignment="1" applyBorder="1" applyFont="1">
      <alignment horizontal="center" vertical="center"/>
    </xf>
    <xf borderId="48" fillId="17" fontId="22" numFmtId="0" xfId="0" applyAlignment="1" applyBorder="1" applyFont="1">
      <alignment horizontal="center" vertical="center"/>
    </xf>
    <xf borderId="48" fillId="9" fontId="22" numFmtId="0" xfId="0" applyAlignment="1" applyBorder="1" applyFont="1">
      <alignment horizontal="center" vertical="center"/>
    </xf>
    <xf borderId="48" fillId="10" fontId="22" numFmtId="0" xfId="0" applyAlignment="1" applyBorder="1" applyFont="1">
      <alignment horizontal="center" vertical="center"/>
    </xf>
    <xf borderId="48" fillId="14" fontId="25" numFmtId="0" xfId="0" applyAlignment="1" applyBorder="1" applyFont="1">
      <alignment horizontal="center" vertical="center"/>
    </xf>
    <xf borderId="48" fillId="15" fontId="22" numFmtId="0" xfId="0" applyAlignment="1" applyBorder="1" applyFont="1">
      <alignment horizontal="center" vertical="center"/>
    </xf>
    <xf borderId="33" fillId="0" fontId="22" numFmtId="0" xfId="0" applyAlignment="1" applyBorder="1" applyFont="1">
      <alignment horizontal="center" shrinkToFit="0" vertical="center" wrapText="1"/>
    </xf>
    <xf borderId="35" fillId="0" fontId="4" numFmtId="0" xfId="0" applyAlignment="1" applyBorder="1" applyFont="1">
      <alignment horizontal="center" vertical="center"/>
    </xf>
    <xf borderId="13" fillId="2" fontId="1" numFmtId="0" xfId="0" applyAlignment="1" applyBorder="1" applyFont="1">
      <alignment horizontal="center" vertical="center"/>
    </xf>
    <xf borderId="45" fillId="0" fontId="19" numFmtId="0" xfId="0" applyAlignment="1" applyBorder="1" applyFont="1">
      <alignment horizontal="center" vertical="center"/>
    </xf>
    <xf borderId="48" fillId="0" fontId="1" numFmtId="0" xfId="0" applyAlignment="1" applyBorder="1" applyFont="1">
      <alignment horizontal="center" vertical="center"/>
    </xf>
    <xf borderId="33" fillId="0" fontId="26" numFmtId="0" xfId="0" applyAlignment="1" applyBorder="1" applyFont="1">
      <alignment horizontal="center" vertical="center"/>
    </xf>
    <xf borderId="35" fillId="0" fontId="14" numFmtId="0" xfId="0" applyAlignment="1" applyBorder="1" applyFont="1">
      <alignment horizontal="center" vertical="center"/>
    </xf>
    <xf borderId="45" fillId="0" fontId="27" numFmtId="0" xfId="0" applyAlignment="1" applyBorder="1" applyFont="1">
      <alignment horizontal="center" shrinkToFit="0" vertical="center" wrapText="1"/>
    </xf>
    <xf borderId="48" fillId="3" fontId="1" numFmtId="0" xfId="0" applyAlignment="1" applyBorder="1" applyFont="1">
      <alignment horizontal="center" vertical="center"/>
    </xf>
    <xf borderId="48" fillId="4" fontId="1" numFmtId="0" xfId="0" applyAlignment="1" applyBorder="1" applyFont="1">
      <alignment horizontal="center" vertical="center"/>
    </xf>
    <xf borderId="48" fillId="5" fontId="1" numFmtId="0" xfId="0" applyAlignment="1" applyBorder="1" applyFont="1">
      <alignment horizontal="center" vertical="center"/>
    </xf>
    <xf borderId="48" fillId="6" fontId="11" numFmtId="0" xfId="0" applyAlignment="1" applyBorder="1" applyFont="1">
      <alignment horizontal="center" vertical="center"/>
    </xf>
    <xf borderId="48" fillId="16" fontId="1" numFmtId="0" xfId="0" applyAlignment="1" applyBorder="1" applyFont="1">
      <alignment horizontal="center" vertical="center"/>
    </xf>
    <xf borderId="48" fillId="17" fontId="1" numFmtId="0" xfId="0" applyAlignment="1" applyBorder="1" applyFont="1">
      <alignment horizontal="center" vertical="center"/>
    </xf>
    <xf borderId="48" fillId="9" fontId="1" numFmtId="0" xfId="0" applyAlignment="1" applyBorder="1" applyFont="1">
      <alignment horizontal="center" vertical="center"/>
    </xf>
    <xf borderId="48" fillId="10" fontId="1" numFmtId="0" xfId="0" applyAlignment="1" applyBorder="1" applyFont="1">
      <alignment horizontal="center" vertical="center"/>
    </xf>
    <xf borderId="48" fillId="14" fontId="11" numFmtId="0" xfId="0" applyAlignment="1" applyBorder="1" applyFont="1">
      <alignment horizontal="center" vertical="center"/>
    </xf>
    <xf borderId="48" fillId="15" fontId="1" numFmtId="0" xfId="0" applyAlignment="1" applyBorder="1" applyFont="1">
      <alignment horizontal="center" vertical="center"/>
    </xf>
    <xf borderId="33" fillId="0" fontId="27" numFmtId="0" xfId="0" applyAlignment="1" applyBorder="1" applyFont="1">
      <alignment horizontal="center" shrinkToFit="0" vertical="center" wrapText="1"/>
    </xf>
    <xf borderId="35" fillId="0" fontId="1" numFmtId="165" xfId="0" applyAlignment="1" applyBorder="1" applyFont="1" applyNumberFormat="1">
      <alignment horizontal="center" vertical="center"/>
    </xf>
    <xf borderId="0" fillId="0" fontId="4" numFmtId="164" xfId="0" applyFont="1" applyNumberFormat="1"/>
    <xf borderId="0" fillId="0" fontId="10" numFmtId="164" xfId="0" applyAlignment="1" applyFont="1" applyNumberFormat="1">
      <alignment horizontal="center"/>
    </xf>
    <xf borderId="0" fillId="0" fontId="7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6" numFmtId="0" xfId="0" applyAlignment="1" applyFont="1">
      <alignment horizontal="center"/>
    </xf>
    <xf borderId="51" fillId="0" fontId="15" numFmtId="0" xfId="0" applyBorder="1" applyFont="1"/>
    <xf borderId="52" fillId="0" fontId="26" numFmtId="0" xfId="0" applyBorder="1" applyFont="1"/>
    <xf borderId="52" fillId="0" fontId="28" numFmtId="0" xfId="0" applyAlignment="1" applyBorder="1" applyFont="1">
      <alignment horizontal="center"/>
    </xf>
    <xf borderId="52" fillId="0" fontId="1" numFmtId="0" xfId="0" applyBorder="1" applyFont="1"/>
    <xf borderId="52" fillId="0" fontId="29" numFmtId="165" xfId="0" applyBorder="1" applyFont="1" applyNumberFormat="1"/>
    <xf borderId="52" fillId="0" fontId="20" numFmtId="164" xfId="0" applyBorder="1" applyFont="1" applyNumberFormat="1"/>
    <xf borderId="7" fillId="3" fontId="1" numFmtId="0" xfId="0" applyAlignment="1" applyBorder="1" applyFont="1">
      <alignment horizontal="center" vertical="center"/>
    </xf>
    <xf borderId="7" fillId="4" fontId="1" numFmtId="0" xfId="0" applyAlignment="1" applyBorder="1" applyFont="1">
      <alignment horizontal="center" vertical="center"/>
    </xf>
    <xf borderId="7" fillId="5" fontId="1" numFmtId="0" xfId="0" applyAlignment="1" applyBorder="1" applyFont="1">
      <alignment horizontal="center" vertical="center"/>
    </xf>
    <xf borderId="7" fillId="6" fontId="11" numFmtId="0" xfId="0" applyAlignment="1" applyBorder="1" applyFont="1">
      <alignment horizontal="center" vertical="center"/>
    </xf>
    <xf borderId="7" fillId="7" fontId="1" numFmtId="0" xfId="0" applyAlignment="1" applyBorder="1" applyFont="1">
      <alignment horizontal="center" vertical="center"/>
    </xf>
    <xf borderId="7" fillId="8" fontId="1" numFmtId="0" xfId="0" applyAlignment="1" applyBorder="1" applyFont="1">
      <alignment horizontal="center" vertical="center"/>
    </xf>
    <xf borderId="7" fillId="9" fontId="1" numFmtId="0" xfId="0" applyAlignment="1" applyBorder="1" applyFont="1">
      <alignment horizontal="center" vertical="center"/>
    </xf>
    <xf borderId="7" fillId="10" fontId="1" numFmtId="0" xfId="0" applyAlignment="1" applyBorder="1" applyFont="1">
      <alignment horizontal="center" vertical="center"/>
    </xf>
    <xf borderId="7" fillId="14" fontId="11" numFmtId="0" xfId="0" applyAlignment="1" applyBorder="1" applyFont="1">
      <alignment horizontal="center" vertical="center"/>
    </xf>
    <xf borderId="7" fillId="13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10" fillId="0" fontId="1" numFmtId="165" xfId="0" applyAlignment="1" applyBorder="1" applyFont="1" applyNumberFormat="1">
      <alignment horizontal="center" vertical="center"/>
    </xf>
    <xf borderId="11" fillId="0" fontId="26" numFmtId="0" xfId="0" applyAlignment="1" applyBorder="1" applyFont="1">
      <alignment horizontal="center" vertical="center"/>
    </xf>
    <xf borderId="12" fillId="0" fontId="1" numFmtId="0" xfId="0" applyBorder="1" applyFont="1"/>
    <xf borderId="12" fillId="0" fontId="1" numFmtId="0" xfId="0" applyAlignment="1" applyBorder="1" applyFont="1">
      <alignment horizontal="center" vertical="center"/>
    </xf>
    <xf borderId="12" fillId="0" fontId="4" numFmtId="164" xfId="0" applyAlignment="1" applyBorder="1" applyFont="1" applyNumberFormat="1">
      <alignment vertical="center"/>
    </xf>
    <xf borderId="12" fillId="3" fontId="1" numFmtId="0" xfId="0" applyAlignment="1" applyBorder="1" applyFont="1">
      <alignment horizontal="center" vertical="center"/>
    </xf>
    <xf borderId="12" fillId="4" fontId="1" numFmtId="0" xfId="0" applyAlignment="1" applyBorder="1" applyFont="1">
      <alignment horizontal="center" vertical="center"/>
    </xf>
    <xf borderId="12" fillId="5" fontId="1" numFmtId="0" xfId="0" applyAlignment="1" applyBorder="1" applyFont="1">
      <alignment horizontal="center" vertical="center"/>
    </xf>
    <xf borderId="12" fillId="6" fontId="30" numFmtId="0" xfId="0" applyAlignment="1" applyBorder="1" applyFont="1">
      <alignment horizontal="center" vertical="center"/>
    </xf>
    <xf borderId="12" fillId="7" fontId="1" numFmtId="0" xfId="0" applyAlignment="1" applyBorder="1" applyFont="1">
      <alignment horizontal="center" vertical="center"/>
    </xf>
    <xf borderId="12" fillId="8" fontId="1" numFmtId="0" xfId="0" applyAlignment="1" applyBorder="1" applyFont="1">
      <alignment horizontal="center" vertical="center"/>
    </xf>
    <xf borderId="12" fillId="9" fontId="1" numFmtId="0" xfId="0" applyAlignment="1" applyBorder="1" applyFont="1">
      <alignment horizontal="center" vertical="center"/>
    </xf>
    <xf borderId="12" fillId="10" fontId="1" numFmtId="0" xfId="0" applyAlignment="1" applyBorder="1" applyFont="1">
      <alignment horizontal="center" vertical="center"/>
    </xf>
    <xf borderId="12" fillId="14" fontId="11" numFmtId="0" xfId="0" applyAlignment="1" applyBorder="1" applyFont="1">
      <alignment horizontal="center" vertical="center"/>
    </xf>
    <xf borderId="12" fillId="13" fontId="1" numFmtId="0" xfId="0" applyAlignment="1" applyBorder="1" applyFont="1">
      <alignment horizontal="center" vertical="center"/>
    </xf>
    <xf borderId="14" fillId="0" fontId="1" numFmtId="165" xfId="0" applyAlignment="1" applyBorder="1" applyFont="1" applyNumberFormat="1">
      <alignment horizontal="center" vertical="center"/>
    </xf>
    <xf borderId="13" fillId="7" fontId="1" numFmtId="0" xfId="0" applyAlignment="1" applyBorder="1" applyFont="1">
      <alignment horizontal="center" vertical="center"/>
    </xf>
    <xf borderId="13" fillId="8" fontId="1" numFmtId="0" xfId="0" applyAlignment="1" applyBorder="1" applyFont="1">
      <alignment horizontal="center" vertical="center"/>
    </xf>
    <xf borderId="13" fillId="13" fontId="1" numFmtId="0" xfId="0" applyAlignment="1" applyBorder="1" applyFont="1">
      <alignment horizontal="center" vertical="center"/>
    </xf>
    <xf borderId="15" fillId="0" fontId="26" numFmtId="0" xfId="0" applyAlignment="1" applyBorder="1" applyFont="1">
      <alignment horizontal="center" vertical="center"/>
    </xf>
    <xf borderId="13" fillId="6" fontId="30" numFmtId="0" xfId="0" applyAlignment="1" applyBorder="1" applyFont="1">
      <alignment horizontal="center" vertical="center"/>
    </xf>
    <xf borderId="0" fillId="0" fontId="26" numFmtId="0" xfId="0" applyAlignment="1" applyFont="1">
      <alignment horizontal="center" vertical="center"/>
    </xf>
    <xf borderId="53" fillId="0" fontId="1" numFmtId="0" xfId="0" applyBorder="1" applyFont="1"/>
    <xf borderId="53" fillId="0" fontId="1" numFmtId="0" xfId="0" applyAlignment="1" applyBorder="1" applyFont="1">
      <alignment horizontal="center" vertical="center"/>
    </xf>
    <xf borderId="53" fillId="0" fontId="4" numFmtId="0" xfId="0" applyAlignment="1" applyBorder="1" applyFont="1">
      <alignment horizontal="center" vertical="center"/>
    </xf>
    <xf borderId="53" fillId="0" fontId="4" numFmtId="164" xfId="0" applyAlignment="1" applyBorder="1" applyFont="1" applyNumberFormat="1">
      <alignment vertical="center"/>
    </xf>
    <xf borderId="53" fillId="0" fontId="1" numFmtId="165" xfId="0" applyAlignment="1" applyBorder="1" applyFont="1" applyNumberFormat="1">
      <alignment vertical="center"/>
    </xf>
    <xf borderId="54" fillId="0" fontId="1" numFmtId="165" xfId="0" applyAlignment="1" applyBorder="1" applyFont="1" applyNumberFormat="1">
      <alignment horizontal="center" vertical="center"/>
    </xf>
    <xf borderId="51" fillId="0" fontId="20" numFmtId="0" xfId="0" applyAlignment="1" applyBorder="1" applyFont="1">
      <alignment horizontal="center" vertical="center"/>
    </xf>
    <xf borderId="6" fillId="0" fontId="3" numFmtId="0" xfId="0" applyBorder="1" applyFont="1"/>
    <xf borderId="7" fillId="0" fontId="31" numFmtId="0" xfId="0" applyAlignment="1" applyBorder="1" applyFont="1">
      <alignment horizontal="center" vertical="center"/>
    </xf>
    <xf borderId="7" fillId="0" fontId="20" numFmtId="164" xfId="0" applyAlignment="1" applyBorder="1" applyFont="1" applyNumberFormat="1">
      <alignment vertical="center"/>
    </xf>
    <xf borderId="19" fillId="7" fontId="1" numFmtId="0" xfId="0" applyAlignment="1" applyBorder="1" applyFont="1">
      <alignment horizontal="center" vertical="center"/>
    </xf>
    <xf borderId="19" fillId="8" fontId="1" numFmtId="0" xfId="0" applyAlignment="1" applyBorder="1" applyFont="1">
      <alignment horizontal="center" vertical="center"/>
    </xf>
    <xf borderId="19" fillId="13" fontId="1" numFmtId="0" xfId="0" applyAlignment="1" applyBorder="1" applyFont="1">
      <alignment horizontal="center" vertical="center"/>
    </xf>
    <xf borderId="55" fillId="0" fontId="26" numFmtId="0" xfId="0" applyAlignment="1" applyBorder="1" applyFont="1">
      <alignment horizontal="center" vertical="center"/>
    </xf>
    <xf borderId="21" fillId="0" fontId="3" numFmtId="0" xfId="0" applyBorder="1" applyFont="1"/>
    <xf borderId="13" fillId="0" fontId="29" numFmtId="0" xfId="0" applyAlignment="1" applyBorder="1" applyFont="1">
      <alignment horizontal="center" vertical="center"/>
    </xf>
    <xf borderId="13" fillId="2" fontId="11" numFmtId="0" xfId="0" applyAlignment="1" applyBorder="1" applyFont="1">
      <alignment horizontal="center" vertical="center"/>
    </xf>
    <xf borderId="13" fillId="0" fontId="32" numFmtId="0" xfId="0" applyAlignment="1" applyBorder="1" applyFont="1">
      <alignment horizontal="center" vertical="center"/>
    </xf>
    <xf borderId="4" fillId="0" fontId="1" numFmtId="0" xfId="0" applyBorder="1" applyFont="1"/>
    <xf borderId="4" fillId="0" fontId="1" numFmtId="0" xfId="0" applyAlignment="1" applyBorder="1" applyFont="1">
      <alignment horizontal="center" vertical="center"/>
    </xf>
    <xf borderId="4" fillId="0" fontId="4" numFmtId="164" xfId="0" applyAlignment="1" applyBorder="1" applyFont="1" applyNumberFormat="1">
      <alignment vertical="center"/>
    </xf>
    <xf borderId="4" fillId="3" fontId="1" numFmtId="0" xfId="0" applyAlignment="1" applyBorder="1" applyFont="1">
      <alignment horizontal="center" vertical="center"/>
    </xf>
    <xf borderId="4" fillId="4" fontId="1" numFmtId="0" xfId="0" applyAlignment="1" applyBorder="1" applyFont="1">
      <alignment horizontal="center" vertical="center"/>
    </xf>
    <xf borderId="4" fillId="5" fontId="1" numFmtId="0" xfId="0" applyAlignment="1" applyBorder="1" applyFont="1">
      <alignment horizontal="center" vertical="center"/>
    </xf>
    <xf borderId="4" fillId="6" fontId="11" numFmtId="0" xfId="0" applyAlignment="1" applyBorder="1" applyFont="1">
      <alignment horizontal="center" vertical="center"/>
    </xf>
    <xf borderId="4" fillId="7" fontId="1" numFmtId="0" xfId="0" applyAlignment="1" applyBorder="1" applyFont="1">
      <alignment horizontal="center" vertical="center"/>
    </xf>
    <xf borderId="4" fillId="8" fontId="1" numFmtId="0" xfId="0" applyAlignment="1" applyBorder="1" applyFont="1">
      <alignment horizontal="center" vertical="center"/>
    </xf>
    <xf borderId="4" fillId="9" fontId="1" numFmtId="0" xfId="0" applyAlignment="1" applyBorder="1" applyFont="1">
      <alignment horizontal="center" vertical="center"/>
    </xf>
    <xf borderId="4" fillId="10" fontId="1" numFmtId="0" xfId="0" applyAlignment="1" applyBorder="1" applyFont="1">
      <alignment horizontal="center" vertical="center"/>
    </xf>
    <xf borderId="4" fillId="14" fontId="11" numFmtId="0" xfId="0" applyAlignment="1" applyBorder="1" applyFont="1">
      <alignment horizontal="center" vertical="center"/>
    </xf>
    <xf borderId="4" fillId="13" fontId="1" numFmtId="0" xfId="0" applyAlignment="1" applyBorder="1" applyFont="1">
      <alignment horizontal="center" vertical="center"/>
    </xf>
    <xf borderId="18" fillId="0" fontId="1" numFmtId="165" xfId="0" applyAlignment="1" applyBorder="1" applyFont="1" applyNumberFormat="1">
      <alignment horizontal="center" vertical="center"/>
    </xf>
    <xf borderId="56" fillId="0" fontId="1" numFmtId="0" xfId="0" applyBorder="1" applyFont="1"/>
    <xf borderId="57" fillId="0" fontId="4" numFmtId="165" xfId="0" applyAlignment="1" applyBorder="1" applyFont="1" applyNumberFormat="1">
      <alignment horizontal="center"/>
    </xf>
    <xf borderId="51" fillId="18" fontId="1" numFmtId="0" xfId="0" applyAlignment="1" applyBorder="1" applyFill="1" applyFont="1">
      <alignment horizontal="center"/>
    </xf>
    <xf borderId="52" fillId="0" fontId="3" numFmtId="0" xfId="0" applyBorder="1" applyFont="1"/>
    <xf borderId="58" fillId="0" fontId="3" numFmtId="0" xfId="0" applyBorder="1" applyFont="1"/>
    <xf borderId="59" fillId="19" fontId="20" numFmtId="0" xfId="0" applyAlignment="1" applyBorder="1" applyFill="1" applyFont="1">
      <alignment horizontal="center"/>
    </xf>
    <xf borderId="60" fillId="0" fontId="3" numFmtId="0" xfId="0" applyBorder="1" applyFont="1"/>
    <xf borderId="1" fillId="19" fontId="20" numFmtId="0" xfId="0" applyAlignment="1" applyBorder="1" applyFont="1">
      <alignment horizontal="center"/>
    </xf>
    <xf borderId="3" fillId="2" fontId="11" numFmtId="0" xfId="0" applyAlignment="1" applyBorder="1" applyFont="1">
      <alignment horizontal="center"/>
    </xf>
    <xf borderId="61" fillId="19" fontId="10" numFmtId="0" xfId="0" applyAlignment="1" applyBorder="1" applyFont="1">
      <alignment horizontal="center"/>
    </xf>
    <xf borderId="62" fillId="4" fontId="20" numFmtId="0" xfId="0" applyBorder="1" applyFont="1"/>
    <xf borderId="5" fillId="3" fontId="1" numFmtId="0" xfId="0" applyAlignment="1" applyBorder="1" applyFont="1">
      <alignment horizontal="center"/>
    </xf>
    <xf borderId="7" fillId="4" fontId="1" numFmtId="0" xfId="0" applyAlignment="1" applyBorder="1" applyFont="1">
      <alignment horizontal="center"/>
    </xf>
    <xf borderId="7" fillId="5" fontId="1" numFmtId="0" xfId="0" applyAlignment="1" applyBorder="1" applyFont="1">
      <alignment horizontal="center"/>
    </xf>
    <xf borderId="7" fillId="6" fontId="11" numFmtId="0" xfId="0" applyAlignment="1" applyBorder="1" applyFont="1">
      <alignment horizontal="center"/>
    </xf>
    <xf borderId="7" fillId="7" fontId="1" numFmtId="0" xfId="0" applyAlignment="1" applyBorder="1" applyFont="1">
      <alignment horizontal="center"/>
    </xf>
    <xf borderId="7" fillId="8" fontId="1" numFmtId="0" xfId="0" applyAlignment="1" applyBorder="1" applyFont="1">
      <alignment horizontal="center"/>
    </xf>
    <xf borderId="7" fillId="9" fontId="1" numFmtId="0" xfId="0" applyAlignment="1" applyBorder="1" applyFont="1">
      <alignment horizontal="center"/>
    </xf>
    <xf borderId="7" fillId="10" fontId="1" numFmtId="0" xfId="0" applyAlignment="1" applyBorder="1" applyFont="1">
      <alignment horizontal="center"/>
    </xf>
    <xf borderId="7" fillId="11" fontId="1" numFmtId="0" xfId="0" applyAlignment="1" applyBorder="1" applyFont="1">
      <alignment horizontal="center"/>
    </xf>
    <xf borderId="7" fillId="12" fontId="1" numFmtId="0" xfId="0" applyAlignment="1" applyBorder="1" applyFont="1">
      <alignment horizontal="center"/>
    </xf>
    <xf borderId="7" fillId="13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13" fillId="0" fontId="1" numFmtId="0" xfId="0" applyAlignment="1" applyBorder="1" applyFont="1">
      <alignment horizontal="center"/>
    </xf>
    <xf borderId="13" fillId="0" fontId="1" numFmtId="164" xfId="0" applyAlignment="1" applyBorder="1" applyFont="1" applyNumberFormat="1">
      <alignment horizontal="center"/>
    </xf>
    <xf borderId="63" fillId="0" fontId="3" numFmtId="0" xfId="0" applyBorder="1" applyFont="1"/>
    <xf borderId="13" fillId="3" fontId="4" numFmtId="0" xfId="0" applyAlignment="1" applyBorder="1" applyFont="1">
      <alignment horizontal="center"/>
    </xf>
    <xf borderId="13" fillId="4" fontId="4" numFmtId="0" xfId="0" applyAlignment="1" applyBorder="1" applyFont="1">
      <alignment horizontal="center"/>
    </xf>
    <xf borderId="62" fillId="20" fontId="20" numFmtId="0" xfId="0" applyBorder="1" applyFill="1" applyFont="1"/>
    <xf borderId="13" fillId="5" fontId="4" numFmtId="0" xfId="0" applyAlignment="1" applyBorder="1" applyFont="1">
      <alignment horizontal="center"/>
    </xf>
    <xf borderId="13" fillId="6" fontId="5" numFmtId="0" xfId="0" applyAlignment="1" applyBorder="1" applyFont="1">
      <alignment horizontal="center"/>
    </xf>
    <xf borderId="62" fillId="3" fontId="20" numFmtId="0" xfId="0" applyBorder="1" applyFont="1"/>
    <xf borderId="13" fillId="21" fontId="30" numFmtId="0" xfId="0" applyAlignment="1" applyBorder="1" applyFill="1" applyFont="1">
      <alignment horizontal="center"/>
    </xf>
    <xf borderId="13" fillId="20" fontId="1" numFmtId="0" xfId="0" applyAlignment="1" applyBorder="1" applyFont="1">
      <alignment horizontal="center"/>
    </xf>
    <xf borderId="13" fillId="15" fontId="1" numFmtId="0" xfId="0" applyAlignment="1" applyBorder="1" applyFont="1">
      <alignment horizontal="center"/>
    </xf>
    <xf borderId="13" fillId="22" fontId="1" numFmtId="0" xfId="0" applyAlignment="1" applyBorder="1" applyFill="1" applyFont="1">
      <alignment horizontal="center"/>
    </xf>
    <xf borderId="13" fillId="14" fontId="1" numFmtId="0" xfId="0" applyAlignment="1" applyBorder="1" applyFont="1">
      <alignment horizontal="center"/>
    </xf>
    <xf borderId="13" fillId="2" fontId="1" numFmtId="165" xfId="0" applyAlignment="1" applyBorder="1" applyFont="1" applyNumberFormat="1">
      <alignment horizontal="center"/>
    </xf>
    <xf borderId="13" fillId="7" fontId="4" numFmtId="0" xfId="0" applyAlignment="1" applyBorder="1" applyFont="1">
      <alignment horizontal="center"/>
    </xf>
    <xf borderId="0" fillId="0" fontId="20" numFmtId="0" xfId="0" applyFont="1"/>
    <xf borderId="3" fillId="22" fontId="1" numFmtId="0" xfId="0" applyAlignment="1" applyBorder="1" applyFont="1">
      <alignment horizontal="center"/>
    </xf>
    <xf borderId="3" fillId="22" fontId="11" numFmtId="0" xfId="0" applyAlignment="1" applyBorder="1" applyFont="1">
      <alignment horizontal="center"/>
    </xf>
    <xf borderId="62" fillId="23" fontId="20" numFmtId="0" xfId="0" applyBorder="1" applyFill="1" applyFont="1"/>
    <xf borderId="7" fillId="14" fontId="1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10" fillId="0" fontId="1" numFmtId="164" xfId="0" applyAlignment="1" applyBorder="1" applyFont="1" applyNumberFormat="1">
      <alignment horizontal="center"/>
    </xf>
    <xf borderId="13" fillId="8" fontId="4" numFmtId="0" xfId="0" applyAlignment="1" applyBorder="1" applyFont="1">
      <alignment horizontal="center"/>
    </xf>
    <xf borderId="13" fillId="9" fontId="4" numFmtId="0" xfId="0" applyAlignment="1" applyBorder="1" applyFont="1">
      <alignment horizontal="center"/>
    </xf>
    <xf borderId="13" fillId="10" fontId="4" numFmtId="0" xfId="0" applyAlignment="1" applyBorder="1" applyFont="1">
      <alignment horizontal="center"/>
    </xf>
    <xf borderId="62" fillId="5" fontId="20" numFmtId="0" xfId="0" applyBorder="1" applyFont="1"/>
    <xf borderId="13" fillId="11" fontId="4" numFmtId="0" xfId="0" applyAlignment="1" applyBorder="1" applyFont="1">
      <alignment horizontal="center"/>
    </xf>
    <xf borderId="13" fillId="12" fontId="4" numFmtId="0" xfId="0" applyAlignment="1" applyBorder="1" applyFont="1">
      <alignment horizontal="center"/>
    </xf>
    <xf borderId="13" fillId="13" fontId="4" numFmtId="0" xfId="0" applyAlignment="1" applyBorder="1" applyFont="1">
      <alignment horizontal="center"/>
    </xf>
    <xf borderId="62" fillId="15" fontId="20" numFmtId="0" xfId="0" applyBorder="1" applyFont="1"/>
    <xf borderId="24" fillId="14" fontId="5" numFmtId="0" xfId="0" applyAlignment="1" applyBorder="1" applyFont="1">
      <alignment horizontal="center"/>
    </xf>
    <xf borderId="3" fillId="2" fontId="20" numFmtId="0" xfId="0" applyBorder="1" applyFont="1"/>
    <xf borderId="62" fillId="2" fontId="20" numFmtId="0" xfId="0" applyBorder="1" applyFont="1"/>
    <xf borderId="13" fillId="14" fontId="11" numFmtId="1" xfId="0" applyAlignment="1" applyBorder="1" applyFont="1" applyNumberFormat="1">
      <alignment horizontal="center"/>
    </xf>
    <xf borderId="62" fillId="0" fontId="20" numFmtId="0" xfId="0" applyBorder="1" applyFont="1"/>
    <xf borderId="13" fillId="5" fontId="33" numFmtId="0" xfId="0" applyAlignment="1" applyBorder="1" applyFont="1">
      <alignment horizontal="center"/>
    </xf>
    <xf borderId="13" fillId="16" fontId="1" numFmtId="0" xfId="0" applyAlignment="1" applyBorder="1" applyFont="1">
      <alignment horizontal="center"/>
    </xf>
    <xf borderId="13" fillId="2" fontId="1" numFmtId="164" xfId="0" applyAlignment="1" applyBorder="1" applyFont="1" applyNumberFormat="1">
      <alignment horizontal="center"/>
    </xf>
    <xf borderId="10" fillId="14" fontId="11" numFmtId="0" xfId="0" applyAlignment="1" applyBorder="1" applyFont="1">
      <alignment horizontal="center"/>
    </xf>
    <xf borderId="0" fillId="0" fontId="27" numFmtId="0" xfId="0" applyAlignment="1" applyFont="1">
      <alignment horizontal="center"/>
    </xf>
    <xf borderId="51" fillId="0" fontId="1" numFmtId="0" xfId="0" applyAlignment="1" applyBorder="1" applyFont="1">
      <alignment horizontal="left"/>
    </xf>
    <xf borderId="51" fillId="0" fontId="1" numFmtId="0" xfId="0" applyBorder="1" applyFont="1"/>
    <xf borderId="64" fillId="0" fontId="1" numFmtId="0" xfId="0" applyAlignment="1" applyBorder="1" applyFont="1">
      <alignment horizontal="center"/>
    </xf>
    <xf borderId="65" fillId="0" fontId="3" numFmtId="0" xfId="0" applyBorder="1" applyFont="1"/>
    <xf borderId="38" fillId="0" fontId="1" numFmtId="0" xfId="0" applyAlignment="1" applyBorder="1" applyFont="1">
      <alignment horizontal="center"/>
    </xf>
    <xf borderId="66" fillId="0" fontId="1" numFmtId="0" xfId="0" applyAlignment="1" applyBorder="1" applyFont="1">
      <alignment horizontal="center"/>
    </xf>
    <xf borderId="67" fillId="0" fontId="3" numFmtId="0" xfId="0" applyBorder="1" applyFont="1"/>
    <xf borderId="51" fillId="0" fontId="20" numFmtId="0" xfId="0" applyBorder="1" applyFont="1"/>
    <xf borderId="52" fillId="0" fontId="20" numFmtId="0" xfId="0" applyBorder="1" applyFont="1"/>
    <xf borderId="68" fillId="0" fontId="1" numFmtId="0" xfId="0" applyBorder="1" applyFont="1"/>
    <xf borderId="52" fillId="0" fontId="4" numFmtId="165" xfId="0" applyAlignment="1" applyBorder="1" applyFont="1" applyNumberFormat="1">
      <alignment horizontal="center"/>
    </xf>
    <xf borderId="52" fillId="0" fontId="20" numFmtId="0" xfId="0" applyAlignment="1" applyBorder="1" applyFont="1">
      <alignment horizontal="center"/>
    </xf>
    <xf borderId="38" fillId="0" fontId="20" numFmtId="9" xfId="0" applyAlignment="1" applyBorder="1" applyFont="1" applyNumberFormat="1">
      <alignment horizontal="center"/>
    </xf>
    <xf borderId="69" fillId="0" fontId="1" numFmtId="0" xfId="0" applyBorder="1" applyFont="1"/>
    <xf borderId="70" fillId="0" fontId="3" numFmtId="0" xfId="0" applyBorder="1" applyFont="1"/>
    <xf borderId="51" fillId="0" fontId="20" numFmtId="0" xfId="0" applyAlignment="1" applyBorder="1" applyFont="1">
      <alignment horizontal="center"/>
    </xf>
    <xf borderId="71" fillId="0" fontId="1" numFmtId="0" xfId="0" applyBorder="1" applyFont="1"/>
    <xf borderId="72" fillId="0" fontId="1" numFmtId="0" xfId="0" applyBorder="1" applyFont="1"/>
    <xf borderId="71" fillId="0" fontId="3" numFmtId="0" xfId="0" applyBorder="1" applyFont="1"/>
    <xf borderId="7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customschemas.google.com/relationships/workbookmetadata" Target="metadata"/><Relationship Id="rId14" Type="http://schemas.openxmlformats.org/officeDocument/2006/relationships/worksheet" Target="worksheets/sheet11.xml"/></Relationships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22.jpg"/><Relationship Id="rId22" Type="http://schemas.openxmlformats.org/officeDocument/2006/relationships/image" Target="../media/image14.png"/><Relationship Id="rId21" Type="http://schemas.openxmlformats.org/officeDocument/2006/relationships/image" Target="../media/image5.png"/><Relationship Id="rId24" Type="http://schemas.openxmlformats.org/officeDocument/2006/relationships/image" Target="../media/image8.jpg"/><Relationship Id="rId23" Type="http://schemas.openxmlformats.org/officeDocument/2006/relationships/image" Target="../media/image23.jpg"/><Relationship Id="rId1" Type="http://schemas.openxmlformats.org/officeDocument/2006/relationships/image" Target="../media/image2.png"/><Relationship Id="rId2" Type="http://schemas.openxmlformats.org/officeDocument/2006/relationships/image" Target="../media/image13.png"/><Relationship Id="rId3" Type="http://schemas.openxmlformats.org/officeDocument/2006/relationships/image" Target="../media/image19.jpg"/><Relationship Id="rId4" Type="http://schemas.openxmlformats.org/officeDocument/2006/relationships/image" Target="../media/image17.jpg"/><Relationship Id="rId9" Type="http://schemas.openxmlformats.org/officeDocument/2006/relationships/image" Target="../media/image21.png"/><Relationship Id="rId26" Type="http://schemas.openxmlformats.org/officeDocument/2006/relationships/image" Target="../media/image29.jpg"/><Relationship Id="rId25" Type="http://schemas.openxmlformats.org/officeDocument/2006/relationships/image" Target="../media/image9.jpg"/><Relationship Id="rId28" Type="http://schemas.openxmlformats.org/officeDocument/2006/relationships/image" Target="../media/image26.jpg"/><Relationship Id="rId27" Type="http://schemas.openxmlformats.org/officeDocument/2006/relationships/image" Target="../media/image20.jpg"/><Relationship Id="rId5" Type="http://schemas.openxmlformats.org/officeDocument/2006/relationships/image" Target="../media/image33.jpg"/><Relationship Id="rId6" Type="http://schemas.openxmlformats.org/officeDocument/2006/relationships/image" Target="../media/image25.jpg"/><Relationship Id="rId29" Type="http://schemas.openxmlformats.org/officeDocument/2006/relationships/image" Target="../media/image24.jpg"/><Relationship Id="rId7" Type="http://schemas.openxmlformats.org/officeDocument/2006/relationships/image" Target="../media/image15.jpg"/><Relationship Id="rId8" Type="http://schemas.openxmlformats.org/officeDocument/2006/relationships/image" Target="../media/image1.jpg"/><Relationship Id="rId30" Type="http://schemas.openxmlformats.org/officeDocument/2006/relationships/image" Target="../media/image66.jpg"/><Relationship Id="rId11" Type="http://schemas.openxmlformats.org/officeDocument/2006/relationships/image" Target="../media/image10.png"/><Relationship Id="rId10" Type="http://schemas.openxmlformats.org/officeDocument/2006/relationships/image" Target="../media/image16.png"/><Relationship Id="rId13" Type="http://schemas.openxmlformats.org/officeDocument/2006/relationships/image" Target="../media/image30.jpg"/><Relationship Id="rId12" Type="http://schemas.openxmlformats.org/officeDocument/2006/relationships/image" Target="../media/image7.png"/><Relationship Id="rId15" Type="http://schemas.openxmlformats.org/officeDocument/2006/relationships/image" Target="../media/image11.png"/><Relationship Id="rId14" Type="http://schemas.openxmlformats.org/officeDocument/2006/relationships/image" Target="../media/image3.jpg"/><Relationship Id="rId17" Type="http://schemas.openxmlformats.org/officeDocument/2006/relationships/image" Target="../media/image4.jpg"/><Relationship Id="rId16" Type="http://schemas.openxmlformats.org/officeDocument/2006/relationships/image" Target="../media/image12.png"/><Relationship Id="rId19" Type="http://schemas.openxmlformats.org/officeDocument/2006/relationships/image" Target="../media/image18.png"/><Relationship Id="rId18" Type="http://schemas.openxmlformats.org/officeDocument/2006/relationships/image" Target="../media/image6.jpg"/></Relationships>
</file>

<file path=xl/drawings/_rels/drawing10.xml.rels><?xml version="1.0" encoding="UTF-8" standalone="yes"?><Relationships xmlns="http://schemas.openxmlformats.org/package/2006/relationships"><Relationship Id="rId20" Type="http://schemas.openxmlformats.org/officeDocument/2006/relationships/image" Target="../media/image249.png"/><Relationship Id="rId22" Type="http://schemas.openxmlformats.org/officeDocument/2006/relationships/image" Target="../media/image236.png"/><Relationship Id="rId21" Type="http://schemas.openxmlformats.org/officeDocument/2006/relationships/image" Target="../media/image247.png"/><Relationship Id="rId24" Type="http://schemas.openxmlformats.org/officeDocument/2006/relationships/image" Target="../media/image242.png"/><Relationship Id="rId23" Type="http://schemas.openxmlformats.org/officeDocument/2006/relationships/image" Target="../media/image235.png"/><Relationship Id="rId1" Type="http://schemas.openxmlformats.org/officeDocument/2006/relationships/image" Target="../media/image211.png"/><Relationship Id="rId2" Type="http://schemas.openxmlformats.org/officeDocument/2006/relationships/image" Target="../media/image209.png"/><Relationship Id="rId3" Type="http://schemas.openxmlformats.org/officeDocument/2006/relationships/image" Target="../media/image221.png"/><Relationship Id="rId4" Type="http://schemas.openxmlformats.org/officeDocument/2006/relationships/image" Target="../media/image219.png"/><Relationship Id="rId9" Type="http://schemas.openxmlformats.org/officeDocument/2006/relationships/image" Target="../media/image226.png"/><Relationship Id="rId26" Type="http://schemas.openxmlformats.org/officeDocument/2006/relationships/image" Target="../media/image234.png"/><Relationship Id="rId25" Type="http://schemas.openxmlformats.org/officeDocument/2006/relationships/image" Target="../media/image241.png"/><Relationship Id="rId28" Type="http://schemas.openxmlformats.org/officeDocument/2006/relationships/image" Target="../media/image239.png"/><Relationship Id="rId27" Type="http://schemas.openxmlformats.org/officeDocument/2006/relationships/image" Target="../media/image233.png"/><Relationship Id="rId5" Type="http://schemas.openxmlformats.org/officeDocument/2006/relationships/image" Target="../media/image222.png"/><Relationship Id="rId6" Type="http://schemas.openxmlformats.org/officeDocument/2006/relationships/image" Target="../media/image214.png"/><Relationship Id="rId29" Type="http://schemas.openxmlformats.org/officeDocument/2006/relationships/image" Target="../media/image240.png"/><Relationship Id="rId7" Type="http://schemas.openxmlformats.org/officeDocument/2006/relationships/image" Target="../media/image220.png"/><Relationship Id="rId8" Type="http://schemas.openxmlformats.org/officeDocument/2006/relationships/image" Target="../media/image227.png"/><Relationship Id="rId31" Type="http://schemas.openxmlformats.org/officeDocument/2006/relationships/image" Target="../media/image248.png"/><Relationship Id="rId30" Type="http://schemas.openxmlformats.org/officeDocument/2006/relationships/image" Target="../media/image252.png"/><Relationship Id="rId11" Type="http://schemas.openxmlformats.org/officeDocument/2006/relationships/image" Target="../media/image229.png"/><Relationship Id="rId33" Type="http://schemas.openxmlformats.org/officeDocument/2006/relationships/image" Target="../media/image246.png"/><Relationship Id="rId10" Type="http://schemas.openxmlformats.org/officeDocument/2006/relationships/image" Target="../media/image224.png"/><Relationship Id="rId32" Type="http://schemas.openxmlformats.org/officeDocument/2006/relationships/image" Target="../media/image244.png"/><Relationship Id="rId13" Type="http://schemas.openxmlformats.org/officeDocument/2006/relationships/image" Target="../media/image232.png"/><Relationship Id="rId35" Type="http://schemas.openxmlformats.org/officeDocument/2006/relationships/image" Target="../media/image243.png"/><Relationship Id="rId12" Type="http://schemas.openxmlformats.org/officeDocument/2006/relationships/image" Target="../media/image218.png"/><Relationship Id="rId34" Type="http://schemas.openxmlformats.org/officeDocument/2006/relationships/image" Target="../media/image250.png"/><Relationship Id="rId15" Type="http://schemas.openxmlformats.org/officeDocument/2006/relationships/image" Target="../media/image251.png"/><Relationship Id="rId14" Type="http://schemas.openxmlformats.org/officeDocument/2006/relationships/image" Target="../media/image238.png"/><Relationship Id="rId17" Type="http://schemas.openxmlformats.org/officeDocument/2006/relationships/image" Target="../media/image228.png"/><Relationship Id="rId16" Type="http://schemas.openxmlformats.org/officeDocument/2006/relationships/image" Target="../media/image245.png"/><Relationship Id="rId19" Type="http://schemas.openxmlformats.org/officeDocument/2006/relationships/image" Target="../media/image237.png"/><Relationship Id="rId18" Type="http://schemas.openxmlformats.org/officeDocument/2006/relationships/image" Target="../media/image23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0.png"/><Relationship Id="rId2" Type="http://schemas.openxmlformats.org/officeDocument/2006/relationships/image" Target="../media/image31.png"/><Relationship Id="rId3" Type="http://schemas.openxmlformats.org/officeDocument/2006/relationships/image" Target="../media/image32.png"/><Relationship Id="rId4" Type="http://schemas.openxmlformats.org/officeDocument/2006/relationships/image" Target="../media/image40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28.png"/><Relationship Id="rId3" Type="http://schemas.openxmlformats.org/officeDocument/2006/relationships/image" Target="../media/image27.png"/><Relationship Id="rId4" Type="http://schemas.openxmlformats.org/officeDocument/2006/relationships/image" Target="../media/image39.png"/><Relationship Id="rId9" Type="http://schemas.openxmlformats.org/officeDocument/2006/relationships/image" Target="../media/image44.jpg"/><Relationship Id="rId5" Type="http://schemas.openxmlformats.org/officeDocument/2006/relationships/image" Target="../media/image38.png"/><Relationship Id="rId6" Type="http://schemas.openxmlformats.org/officeDocument/2006/relationships/image" Target="../media/image36.jpg"/><Relationship Id="rId7" Type="http://schemas.openxmlformats.org/officeDocument/2006/relationships/image" Target="../media/image34.jpg"/><Relationship Id="rId8" Type="http://schemas.openxmlformats.org/officeDocument/2006/relationships/image" Target="../media/image41.jpg"/><Relationship Id="rId11" Type="http://schemas.openxmlformats.org/officeDocument/2006/relationships/image" Target="../media/image42.png"/><Relationship Id="rId10" Type="http://schemas.openxmlformats.org/officeDocument/2006/relationships/image" Target="../media/image35.jpg"/><Relationship Id="rId13" Type="http://schemas.openxmlformats.org/officeDocument/2006/relationships/image" Target="../media/image46.png"/><Relationship Id="rId12" Type="http://schemas.openxmlformats.org/officeDocument/2006/relationships/image" Target="../media/image43.png"/><Relationship Id="rId15" Type="http://schemas.openxmlformats.org/officeDocument/2006/relationships/image" Target="../media/image71.png"/><Relationship Id="rId14" Type="http://schemas.openxmlformats.org/officeDocument/2006/relationships/image" Target="../media/image45.png"/><Relationship Id="rId17" Type="http://schemas.openxmlformats.org/officeDocument/2006/relationships/image" Target="../media/image50.png"/><Relationship Id="rId16" Type="http://schemas.openxmlformats.org/officeDocument/2006/relationships/image" Target="../media/image48.jpg"/><Relationship Id="rId19" Type="http://schemas.openxmlformats.org/officeDocument/2006/relationships/image" Target="../media/image47.jpg"/><Relationship Id="rId18" Type="http://schemas.openxmlformats.org/officeDocument/2006/relationships/image" Target="../media/image52.jpg"/></Relationships>
</file>

<file path=xl/drawings/_rels/drawing4.xml.rels><?xml version="1.0" encoding="UTF-8" standalone="yes"?><Relationships xmlns="http://schemas.openxmlformats.org/package/2006/relationships"><Relationship Id="rId20" Type="http://schemas.openxmlformats.org/officeDocument/2006/relationships/image" Target="../media/image70.jpg"/><Relationship Id="rId22" Type="http://schemas.openxmlformats.org/officeDocument/2006/relationships/image" Target="../media/image68.jpg"/><Relationship Id="rId21" Type="http://schemas.openxmlformats.org/officeDocument/2006/relationships/image" Target="../media/image79.png"/><Relationship Id="rId24" Type="http://schemas.openxmlformats.org/officeDocument/2006/relationships/image" Target="../media/image74.png"/><Relationship Id="rId23" Type="http://schemas.openxmlformats.org/officeDocument/2006/relationships/image" Target="../media/image93.png"/><Relationship Id="rId1" Type="http://schemas.openxmlformats.org/officeDocument/2006/relationships/image" Target="../media/image90.jpg"/><Relationship Id="rId2" Type="http://schemas.openxmlformats.org/officeDocument/2006/relationships/image" Target="../media/image55.jpg"/><Relationship Id="rId3" Type="http://schemas.openxmlformats.org/officeDocument/2006/relationships/image" Target="../media/image65.jpg"/><Relationship Id="rId4" Type="http://schemas.openxmlformats.org/officeDocument/2006/relationships/image" Target="../media/image49.jpg"/><Relationship Id="rId9" Type="http://schemas.openxmlformats.org/officeDocument/2006/relationships/image" Target="../media/image54.png"/><Relationship Id="rId26" Type="http://schemas.openxmlformats.org/officeDocument/2006/relationships/image" Target="../media/image84.png"/><Relationship Id="rId25" Type="http://schemas.openxmlformats.org/officeDocument/2006/relationships/image" Target="../media/image86.png"/><Relationship Id="rId28" Type="http://schemas.openxmlformats.org/officeDocument/2006/relationships/image" Target="../media/image75.png"/><Relationship Id="rId27" Type="http://schemas.openxmlformats.org/officeDocument/2006/relationships/image" Target="../media/image76.png"/><Relationship Id="rId5" Type="http://schemas.openxmlformats.org/officeDocument/2006/relationships/image" Target="../media/image51.jpg"/><Relationship Id="rId6" Type="http://schemas.openxmlformats.org/officeDocument/2006/relationships/image" Target="../media/image62.jpg"/><Relationship Id="rId29" Type="http://schemas.openxmlformats.org/officeDocument/2006/relationships/image" Target="../media/image69.png"/><Relationship Id="rId7" Type="http://schemas.openxmlformats.org/officeDocument/2006/relationships/image" Target="../media/image72.jpg"/><Relationship Id="rId8" Type="http://schemas.openxmlformats.org/officeDocument/2006/relationships/image" Target="../media/image53.jpg"/><Relationship Id="rId30" Type="http://schemas.openxmlformats.org/officeDocument/2006/relationships/image" Target="../media/image80.png"/><Relationship Id="rId11" Type="http://schemas.openxmlformats.org/officeDocument/2006/relationships/image" Target="../media/image58.jpg"/><Relationship Id="rId10" Type="http://schemas.openxmlformats.org/officeDocument/2006/relationships/image" Target="../media/image59.png"/><Relationship Id="rId13" Type="http://schemas.openxmlformats.org/officeDocument/2006/relationships/image" Target="../media/image61.jpg"/><Relationship Id="rId12" Type="http://schemas.openxmlformats.org/officeDocument/2006/relationships/image" Target="../media/image64.jpg"/><Relationship Id="rId15" Type="http://schemas.openxmlformats.org/officeDocument/2006/relationships/image" Target="../media/image63.jpg"/><Relationship Id="rId14" Type="http://schemas.openxmlformats.org/officeDocument/2006/relationships/image" Target="../media/image57.jpg"/><Relationship Id="rId17" Type="http://schemas.openxmlformats.org/officeDocument/2006/relationships/image" Target="../media/image56.jpg"/><Relationship Id="rId16" Type="http://schemas.openxmlformats.org/officeDocument/2006/relationships/image" Target="../media/image73.jpg"/><Relationship Id="rId19" Type="http://schemas.openxmlformats.org/officeDocument/2006/relationships/image" Target="../media/image67.jpg"/><Relationship Id="rId18" Type="http://schemas.openxmlformats.org/officeDocument/2006/relationships/image" Target="../media/image8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94.png"/><Relationship Id="rId2" Type="http://schemas.openxmlformats.org/officeDocument/2006/relationships/image" Target="../media/image83.png"/><Relationship Id="rId3" Type="http://schemas.openxmlformats.org/officeDocument/2006/relationships/image" Target="../media/image82.png"/><Relationship Id="rId4" Type="http://schemas.openxmlformats.org/officeDocument/2006/relationships/image" Target="../media/image78.png"/><Relationship Id="rId5" Type="http://schemas.openxmlformats.org/officeDocument/2006/relationships/image" Target="../media/image87.png"/><Relationship Id="rId6" Type="http://schemas.openxmlformats.org/officeDocument/2006/relationships/image" Target="../media/image102.png"/></Relationships>
</file>

<file path=xl/drawings/_rels/drawing6.xml.rels><?xml version="1.0" encoding="UTF-8" standalone="yes"?><Relationships xmlns="http://schemas.openxmlformats.org/package/2006/relationships"><Relationship Id="rId20" Type="http://schemas.openxmlformats.org/officeDocument/2006/relationships/image" Target="../media/image103.jpg"/><Relationship Id="rId22" Type="http://schemas.openxmlformats.org/officeDocument/2006/relationships/image" Target="../media/image122.png"/><Relationship Id="rId21" Type="http://schemas.openxmlformats.org/officeDocument/2006/relationships/image" Target="../media/image142.jpg"/><Relationship Id="rId23" Type="http://schemas.openxmlformats.org/officeDocument/2006/relationships/image" Target="../media/image105.png"/><Relationship Id="rId1" Type="http://schemas.openxmlformats.org/officeDocument/2006/relationships/image" Target="../media/image85.jpg"/><Relationship Id="rId2" Type="http://schemas.openxmlformats.org/officeDocument/2006/relationships/image" Target="../media/image77.png"/><Relationship Id="rId3" Type="http://schemas.openxmlformats.org/officeDocument/2006/relationships/image" Target="../media/image91.png"/><Relationship Id="rId4" Type="http://schemas.openxmlformats.org/officeDocument/2006/relationships/image" Target="../media/image104.png"/><Relationship Id="rId9" Type="http://schemas.openxmlformats.org/officeDocument/2006/relationships/image" Target="../media/image100.jpg"/><Relationship Id="rId5" Type="http://schemas.openxmlformats.org/officeDocument/2006/relationships/image" Target="../media/image108.png"/><Relationship Id="rId6" Type="http://schemas.openxmlformats.org/officeDocument/2006/relationships/image" Target="../media/image109.png"/><Relationship Id="rId7" Type="http://schemas.openxmlformats.org/officeDocument/2006/relationships/image" Target="../media/image89.png"/><Relationship Id="rId8" Type="http://schemas.openxmlformats.org/officeDocument/2006/relationships/image" Target="../media/image88.png"/><Relationship Id="rId11" Type="http://schemas.openxmlformats.org/officeDocument/2006/relationships/image" Target="../media/image97.jpg"/><Relationship Id="rId10" Type="http://schemas.openxmlformats.org/officeDocument/2006/relationships/image" Target="../media/image113.png"/><Relationship Id="rId13" Type="http://schemas.openxmlformats.org/officeDocument/2006/relationships/image" Target="../media/image92.jpg"/><Relationship Id="rId12" Type="http://schemas.openxmlformats.org/officeDocument/2006/relationships/image" Target="../media/image99.png"/><Relationship Id="rId15" Type="http://schemas.openxmlformats.org/officeDocument/2006/relationships/image" Target="../media/image98.jpg"/><Relationship Id="rId14" Type="http://schemas.openxmlformats.org/officeDocument/2006/relationships/image" Target="../media/image96.png"/><Relationship Id="rId17" Type="http://schemas.openxmlformats.org/officeDocument/2006/relationships/image" Target="../media/image95.jpg"/><Relationship Id="rId16" Type="http://schemas.openxmlformats.org/officeDocument/2006/relationships/image" Target="../media/image107.png"/><Relationship Id="rId19" Type="http://schemas.openxmlformats.org/officeDocument/2006/relationships/image" Target="../media/image111.jpg"/><Relationship Id="rId18" Type="http://schemas.openxmlformats.org/officeDocument/2006/relationships/image" Target="../media/image128.jpg"/></Relationships>
</file>

<file path=xl/drawings/_rels/drawing7.xml.rels><?xml version="1.0" encoding="UTF-8" standalone="yes"?><Relationships xmlns="http://schemas.openxmlformats.org/package/2006/relationships"><Relationship Id="rId20" Type="http://schemas.openxmlformats.org/officeDocument/2006/relationships/image" Target="../media/image134.png"/><Relationship Id="rId22" Type="http://schemas.openxmlformats.org/officeDocument/2006/relationships/image" Target="../media/image129.png"/><Relationship Id="rId21" Type="http://schemas.openxmlformats.org/officeDocument/2006/relationships/image" Target="../media/image139.png"/><Relationship Id="rId24" Type="http://schemas.openxmlformats.org/officeDocument/2006/relationships/image" Target="../media/image136.png"/><Relationship Id="rId23" Type="http://schemas.openxmlformats.org/officeDocument/2006/relationships/image" Target="../media/image141.png"/><Relationship Id="rId1" Type="http://schemas.openxmlformats.org/officeDocument/2006/relationships/image" Target="../media/image106.jpg"/><Relationship Id="rId2" Type="http://schemas.openxmlformats.org/officeDocument/2006/relationships/image" Target="../media/image101.jpg"/><Relationship Id="rId3" Type="http://schemas.openxmlformats.org/officeDocument/2006/relationships/image" Target="../media/image123.png"/><Relationship Id="rId4" Type="http://schemas.openxmlformats.org/officeDocument/2006/relationships/image" Target="../media/image114.png"/><Relationship Id="rId9" Type="http://schemas.openxmlformats.org/officeDocument/2006/relationships/image" Target="../media/image118.png"/><Relationship Id="rId26" Type="http://schemas.openxmlformats.org/officeDocument/2006/relationships/image" Target="../media/image130.png"/><Relationship Id="rId25" Type="http://schemas.openxmlformats.org/officeDocument/2006/relationships/image" Target="../media/image132.png"/><Relationship Id="rId28" Type="http://schemas.openxmlformats.org/officeDocument/2006/relationships/image" Target="../media/image138.png"/><Relationship Id="rId27" Type="http://schemas.openxmlformats.org/officeDocument/2006/relationships/image" Target="../media/image137.png"/><Relationship Id="rId5" Type="http://schemas.openxmlformats.org/officeDocument/2006/relationships/image" Target="../media/image115.png"/><Relationship Id="rId6" Type="http://schemas.openxmlformats.org/officeDocument/2006/relationships/image" Target="../media/image112.png"/><Relationship Id="rId29" Type="http://schemas.openxmlformats.org/officeDocument/2006/relationships/image" Target="../media/image158.png"/><Relationship Id="rId7" Type="http://schemas.openxmlformats.org/officeDocument/2006/relationships/image" Target="../media/image110.png"/><Relationship Id="rId8" Type="http://schemas.openxmlformats.org/officeDocument/2006/relationships/image" Target="../media/image127.png"/><Relationship Id="rId31" Type="http://schemas.openxmlformats.org/officeDocument/2006/relationships/image" Target="../media/image135.png"/><Relationship Id="rId30" Type="http://schemas.openxmlformats.org/officeDocument/2006/relationships/image" Target="../media/image155.png"/><Relationship Id="rId11" Type="http://schemas.openxmlformats.org/officeDocument/2006/relationships/image" Target="../media/image120.png"/><Relationship Id="rId10" Type="http://schemas.openxmlformats.org/officeDocument/2006/relationships/image" Target="../media/image117.jpg"/><Relationship Id="rId32" Type="http://schemas.openxmlformats.org/officeDocument/2006/relationships/image" Target="../media/image131.png"/><Relationship Id="rId13" Type="http://schemas.openxmlformats.org/officeDocument/2006/relationships/image" Target="../media/image140.png"/><Relationship Id="rId12" Type="http://schemas.openxmlformats.org/officeDocument/2006/relationships/image" Target="../media/image121.png"/><Relationship Id="rId15" Type="http://schemas.openxmlformats.org/officeDocument/2006/relationships/image" Target="../media/image133.jpg"/><Relationship Id="rId14" Type="http://schemas.openxmlformats.org/officeDocument/2006/relationships/image" Target="../media/image125.png"/><Relationship Id="rId17" Type="http://schemas.openxmlformats.org/officeDocument/2006/relationships/image" Target="../media/image124.png"/><Relationship Id="rId16" Type="http://schemas.openxmlformats.org/officeDocument/2006/relationships/image" Target="../media/image119.png"/><Relationship Id="rId19" Type="http://schemas.openxmlformats.org/officeDocument/2006/relationships/image" Target="../media/image126.png"/><Relationship Id="rId18" Type="http://schemas.openxmlformats.org/officeDocument/2006/relationships/image" Target="../media/image116.png"/></Relationships>
</file>

<file path=xl/drawings/_rels/drawing8.xml.rels><?xml version="1.0" encoding="UTF-8" standalone="yes"?><Relationships xmlns="http://schemas.openxmlformats.org/package/2006/relationships"><Relationship Id="rId40" Type="http://schemas.openxmlformats.org/officeDocument/2006/relationships/image" Target="../media/image179.jpg"/><Relationship Id="rId20" Type="http://schemas.openxmlformats.org/officeDocument/2006/relationships/image" Target="../media/image161.png"/><Relationship Id="rId42" Type="http://schemas.openxmlformats.org/officeDocument/2006/relationships/image" Target="../media/image188.png"/><Relationship Id="rId41" Type="http://schemas.openxmlformats.org/officeDocument/2006/relationships/image" Target="../media/image169.jpg"/><Relationship Id="rId22" Type="http://schemas.openxmlformats.org/officeDocument/2006/relationships/image" Target="../media/image153.png"/><Relationship Id="rId44" Type="http://schemas.openxmlformats.org/officeDocument/2006/relationships/image" Target="../media/image183.png"/><Relationship Id="rId21" Type="http://schemas.openxmlformats.org/officeDocument/2006/relationships/image" Target="../media/image159.png"/><Relationship Id="rId43" Type="http://schemas.openxmlformats.org/officeDocument/2006/relationships/image" Target="../media/image181.png"/><Relationship Id="rId24" Type="http://schemas.openxmlformats.org/officeDocument/2006/relationships/image" Target="../media/image163.png"/><Relationship Id="rId23" Type="http://schemas.openxmlformats.org/officeDocument/2006/relationships/image" Target="../media/image170.png"/><Relationship Id="rId1" Type="http://schemas.openxmlformats.org/officeDocument/2006/relationships/image" Target="../media/image143.png"/><Relationship Id="rId2" Type="http://schemas.openxmlformats.org/officeDocument/2006/relationships/image" Target="../media/image160.png"/><Relationship Id="rId3" Type="http://schemas.openxmlformats.org/officeDocument/2006/relationships/image" Target="../media/image147.png"/><Relationship Id="rId4" Type="http://schemas.openxmlformats.org/officeDocument/2006/relationships/image" Target="../media/image144.png"/><Relationship Id="rId9" Type="http://schemas.openxmlformats.org/officeDocument/2006/relationships/image" Target="../media/image149.png"/><Relationship Id="rId26" Type="http://schemas.openxmlformats.org/officeDocument/2006/relationships/image" Target="../media/image185.png"/><Relationship Id="rId25" Type="http://schemas.openxmlformats.org/officeDocument/2006/relationships/image" Target="../media/image180.png"/><Relationship Id="rId28" Type="http://schemas.openxmlformats.org/officeDocument/2006/relationships/image" Target="../media/image167.png"/><Relationship Id="rId27" Type="http://schemas.openxmlformats.org/officeDocument/2006/relationships/image" Target="../media/image182.png"/><Relationship Id="rId5" Type="http://schemas.openxmlformats.org/officeDocument/2006/relationships/image" Target="../media/image154.png"/><Relationship Id="rId6" Type="http://schemas.openxmlformats.org/officeDocument/2006/relationships/image" Target="../media/image145.png"/><Relationship Id="rId29" Type="http://schemas.openxmlformats.org/officeDocument/2006/relationships/image" Target="../media/image165.png"/><Relationship Id="rId7" Type="http://schemas.openxmlformats.org/officeDocument/2006/relationships/image" Target="../media/image146.png"/><Relationship Id="rId8" Type="http://schemas.openxmlformats.org/officeDocument/2006/relationships/image" Target="../media/image148.png"/><Relationship Id="rId31" Type="http://schemas.openxmlformats.org/officeDocument/2006/relationships/image" Target="../media/image168.png"/><Relationship Id="rId30" Type="http://schemas.openxmlformats.org/officeDocument/2006/relationships/image" Target="../media/image166.jpg"/><Relationship Id="rId11" Type="http://schemas.openxmlformats.org/officeDocument/2006/relationships/image" Target="../media/image172.png"/><Relationship Id="rId33" Type="http://schemas.openxmlformats.org/officeDocument/2006/relationships/image" Target="../media/image171.png"/><Relationship Id="rId10" Type="http://schemas.openxmlformats.org/officeDocument/2006/relationships/image" Target="../media/image152.png"/><Relationship Id="rId32" Type="http://schemas.openxmlformats.org/officeDocument/2006/relationships/image" Target="../media/image177.png"/><Relationship Id="rId13" Type="http://schemas.openxmlformats.org/officeDocument/2006/relationships/image" Target="../media/image192.png"/><Relationship Id="rId35" Type="http://schemas.openxmlformats.org/officeDocument/2006/relationships/image" Target="../media/image178.png"/><Relationship Id="rId12" Type="http://schemas.openxmlformats.org/officeDocument/2006/relationships/image" Target="../media/image190.png"/><Relationship Id="rId34" Type="http://schemas.openxmlformats.org/officeDocument/2006/relationships/image" Target="../media/image175.png"/><Relationship Id="rId15" Type="http://schemas.openxmlformats.org/officeDocument/2006/relationships/image" Target="../media/image174.png"/><Relationship Id="rId37" Type="http://schemas.openxmlformats.org/officeDocument/2006/relationships/image" Target="../media/image162.png"/><Relationship Id="rId14" Type="http://schemas.openxmlformats.org/officeDocument/2006/relationships/image" Target="../media/image156.png"/><Relationship Id="rId36" Type="http://schemas.openxmlformats.org/officeDocument/2006/relationships/image" Target="../media/image173.png"/><Relationship Id="rId17" Type="http://schemas.openxmlformats.org/officeDocument/2006/relationships/image" Target="../media/image151.png"/><Relationship Id="rId39" Type="http://schemas.openxmlformats.org/officeDocument/2006/relationships/image" Target="../media/image197.png"/><Relationship Id="rId16" Type="http://schemas.openxmlformats.org/officeDocument/2006/relationships/image" Target="../media/image150.png"/><Relationship Id="rId38" Type="http://schemas.openxmlformats.org/officeDocument/2006/relationships/image" Target="../media/image176.png"/><Relationship Id="rId19" Type="http://schemas.openxmlformats.org/officeDocument/2006/relationships/image" Target="../media/image164.png"/><Relationship Id="rId18" Type="http://schemas.openxmlformats.org/officeDocument/2006/relationships/image" Target="../media/image157.png"/></Relationships>
</file>

<file path=xl/drawings/_rels/drawing9.xml.rels><?xml version="1.0" encoding="UTF-8" standalone="yes"?><Relationships xmlns="http://schemas.openxmlformats.org/package/2006/relationships"><Relationship Id="rId20" Type="http://schemas.openxmlformats.org/officeDocument/2006/relationships/image" Target="../media/image217.png"/><Relationship Id="rId22" Type="http://schemas.openxmlformats.org/officeDocument/2006/relationships/image" Target="../media/image206.png"/><Relationship Id="rId21" Type="http://schemas.openxmlformats.org/officeDocument/2006/relationships/image" Target="../media/image212.png"/><Relationship Id="rId24" Type="http://schemas.openxmlformats.org/officeDocument/2006/relationships/image" Target="../media/image205.png"/><Relationship Id="rId23" Type="http://schemas.openxmlformats.org/officeDocument/2006/relationships/image" Target="../media/image208.png"/><Relationship Id="rId1" Type="http://schemas.openxmlformats.org/officeDocument/2006/relationships/image" Target="../media/image191.png"/><Relationship Id="rId2" Type="http://schemas.openxmlformats.org/officeDocument/2006/relationships/image" Target="../media/image210.png"/><Relationship Id="rId3" Type="http://schemas.openxmlformats.org/officeDocument/2006/relationships/image" Target="../media/image184.png"/><Relationship Id="rId4" Type="http://schemas.openxmlformats.org/officeDocument/2006/relationships/image" Target="../media/image213.png"/><Relationship Id="rId9" Type="http://schemas.openxmlformats.org/officeDocument/2006/relationships/image" Target="../media/image193.png"/><Relationship Id="rId26" Type="http://schemas.openxmlformats.org/officeDocument/2006/relationships/image" Target="../media/image201.png"/><Relationship Id="rId25" Type="http://schemas.openxmlformats.org/officeDocument/2006/relationships/image" Target="../media/image215.png"/><Relationship Id="rId28" Type="http://schemas.openxmlformats.org/officeDocument/2006/relationships/image" Target="../media/image223.png"/><Relationship Id="rId27" Type="http://schemas.openxmlformats.org/officeDocument/2006/relationships/image" Target="../media/image216.png"/><Relationship Id="rId5" Type="http://schemas.openxmlformats.org/officeDocument/2006/relationships/image" Target="../media/image195.png"/><Relationship Id="rId6" Type="http://schemas.openxmlformats.org/officeDocument/2006/relationships/image" Target="../media/image189.png"/><Relationship Id="rId29" Type="http://schemas.openxmlformats.org/officeDocument/2006/relationships/image" Target="../media/image225.png"/><Relationship Id="rId7" Type="http://schemas.openxmlformats.org/officeDocument/2006/relationships/image" Target="../media/image230.png"/><Relationship Id="rId8" Type="http://schemas.openxmlformats.org/officeDocument/2006/relationships/image" Target="../media/image196.png"/><Relationship Id="rId11" Type="http://schemas.openxmlformats.org/officeDocument/2006/relationships/image" Target="../media/image194.png"/><Relationship Id="rId10" Type="http://schemas.openxmlformats.org/officeDocument/2006/relationships/image" Target="../media/image199.png"/><Relationship Id="rId13" Type="http://schemas.openxmlformats.org/officeDocument/2006/relationships/image" Target="../media/image186.png"/><Relationship Id="rId12" Type="http://schemas.openxmlformats.org/officeDocument/2006/relationships/image" Target="../media/image187.png"/><Relationship Id="rId15" Type="http://schemas.openxmlformats.org/officeDocument/2006/relationships/image" Target="../media/image203.png"/><Relationship Id="rId14" Type="http://schemas.openxmlformats.org/officeDocument/2006/relationships/image" Target="../media/image202.png"/><Relationship Id="rId17" Type="http://schemas.openxmlformats.org/officeDocument/2006/relationships/image" Target="../media/image200.png"/><Relationship Id="rId16" Type="http://schemas.openxmlformats.org/officeDocument/2006/relationships/image" Target="../media/image204.png"/><Relationship Id="rId19" Type="http://schemas.openxmlformats.org/officeDocument/2006/relationships/image" Target="../media/image207.png"/><Relationship Id="rId18" Type="http://schemas.openxmlformats.org/officeDocument/2006/relationships/image" Target="../media/image198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1009650</xdr:colOff>
      <xdr:row>36</xdr:row>
      <xdr:rowOff>66675</xdr:rowOff>
    </xdr:from>
    <xdr:ext cx="1066800" cy="11049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1009650</xdr:colOff>
      <xdr:row>37</xdr:row>
      <xdr:rowOff>38100</xdr:rowOff>
    </xdr:from>
    <xdr:ext cx="1066800" cy="1123950"/>
    <xdr:pic>
      <xdr:nvPicPr>
        <xdr:cNvPr id="0" name="image1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</xdr:row>
      <xdr:rowOff>0</xdr:rowOff>
    </xdr:from>
    <xdr:ext cx="1114425" cy="1162050"/>
    <xdr:pic>
      <xdr:nvPicPr>
        <xdr:cNvPr id="0" name="image19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14425" cy="876300"/>
    <xdr:pic>
      <xdr:nvPicPr>
        <xdr:cNvPr id="0" name="image1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114425" cy="1000125"/>
    <xdr:pic>
      <xdr:nvPicPr>
        <xdr:cNvPr id="0" name="image3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14425" cy="971550"/>
    <xdr:pic>
      <xdr:nvPicPr>
        <xdr:cNvPr id="0" name="image25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114425" cy="1066800"/>
    <xdr:pic>
      <xdr:nvPicPr>
        <xdr:cNvPr id="0" name="image15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114425" cy="1114425"/>
    <xdr:pic>
      <xdr:nvPicPr>
        <xdr:cNvPr id="0" name="image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114425" cy="1143000"/>
    <xdr:pic>
      <xdr:nvPicPr>
        <xdr:cNvPr id="0" name="image21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114425" cy="1152525"/>
    <xdr:pic>
      <xdr:nvPicPr>
        <xdr:cNvPr id="0" name="image16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114425" cy="1143000"/>
    <xdr:pic>
      <xdr:nvPicPr>
        <xdr:cNvPr id="0" name="image10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114425" cy="1143000"/>
    <xdr:pic>
      <xdr:nvPicPr>
        <xdr:cNvPr id="0" name="image7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114425" cy="1114425"/>
    <xdr:pic>
      <xdr:nvPicPr>
        <xdr:cNvPr id="0" name="image30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114425" cy="1181100"/>
    <xdr:pic>
      <xdr:nvPicPr>
        <xdr:cNvPr id="0" name="image3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114425" cy="1114425"/>
    <xdr:pic>
      <xdr:nvPicPr>
        <xdr:cNvPr id="0" name="image11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114425" cy="1114425"/>
    <xdr:pic>
      <xdr:nvPicPr>
        <xdr:cNvPr id="0" name="image12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114425" cy="962025"/>
    <xdr:pic>
      <xdr:nvPicPr>
        <xdr:cNvPr id="0" name="image4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114425" cy="923925"/>
    <xdr:pic>
      <xdr:nvPicPr>
        <xdr:cNvPr id="0" name="image6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104900" cy="1104900"/>
    <xdr:pic>
      <xdr:nvPicPr>
        <xdr:cNvPr id="0" name="image18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114425" cy="1181100"/>
    <xdr:pic>
      <xdr:nvPicPr>
        <xdr:cNvPr id="0" name="image22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114425" cy="1114425"/>
    <xdr:pic>
      <xdr:nvPicPr>
        <xdr:cNvPr id="0" name="image5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114425" cy="1114425"/>
    <xdr:pic>
      <xdr:nvPicPr>
        <xdr:cNvPr id="0" name="image14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114425" cy="1143000"/>
    <xdr:pic>
      <xdr:nvPicPr>
        <xdr:cNvPr id="0" name="image23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114425" cy="1143000"/>
    <xdr:pic>
      <xdr:nvPicPr>
        <xdr:cNvPr id="0" name="image8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114425" cy="1162050"/>
    <xdr:pic>
      <xdr:nvPicPr>
        <xdr:cNvPr id="0" name="image9.jp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114425" cy="876300"/>
    <xdr:pic>
      <xdr:nvPicPr>
        <xdr:cNvPr id="0" name="image29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114425" cy="1143000"/>
    <xdr:pic>
      <xdr:nvPicPr>
        <xdr:cNvPr id="0" name="image20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114425" cy="1181100"/>
    <xdr:pic>
      <xdr:nvPicPr>
        <xdr:cNvPr id="0" name="image26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114425" cy="1181100"/>
    <xdr:pic>
      <xdr:nvPicPr>
        <xdr:cNvPr id="0" name="image24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1114425" cy="1000125"/>
    <xdr:pic>
      <xdr:nvPicPr>
        <xdr:cNvPr id="0" name="image66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35</xdr:row>
      <xdr:rowOff>38100</xdr:rowOff>
    </xdr:from>
    <xdr:ext cx="1047750" cy="1038225"/>
    <xdr:pic>
      <xdr:nvPicPr>
        <xdr:cNvPr id="0" name="image2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36</xdr:row>
      <xdr:rowOff>57150</xdr:rowOff>
    </xdr:from>
    <xdr:ext cx="1038225" cy="1047750"/>
    <xdr:pic>
      <xdr:nvPicPr>
        <xdr:cNvPr id="0" name="image209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46</xdr:row>
      <xdr:rowOff>38100</xdr:rowOff>
    </xdr:from>
    <xdr:ext cx="1038225" cy="1047750"/>
    <xdr:pic>
      <xdr:nvPicPr>
        <xdr:cNvPr id="0" name="image22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34</xdr:row>
      <xdr:rowOff>57150</xdr:rowOff>
    </xdr:from>
    <xdr:ext cx="1047750" cy="1076325"/>
    <xdr:pic>
      <xdr:nvPicPr>
        <xdr:cNvPr id="0" name="image21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43</xdr:row>
      <xdr:rowOff>47625</xdr:rowOff>
    </xdr:from>
    <xdr:ext cx="1047750" cy="1047750"/>
    <xdr:pic>
      <xdr:nvPicPr>
        <xdr:cNvPr id="0" name="image22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85850" cy="1085850"/>
    <xdr:pic>
      <xdr:nvPicPr>
        <xdr:cNvPr id="0" name="image21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085850" cy="1085850"/>
    <xdr:pic>
      <xdr:nvPicPr>
        <xdr:cNvPr id="0" name="image220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085850" cy="1028700"/>
    <xdr:pic>
      <xdr:nvPicPr>
        <xdr:cNvPr id="0" name="image22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085850" cy="1019175"/>
    <xdr:pic>
      <xdr:nvPicPr>
        <xdr:cNvPr id="0" name="image226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085850" cy="1085850"/>
    <xdr:pic>
      <xdr:nvPicPr>
        <xdr:cNvPr id="0" name="image224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85850" cy="1057275"/>
    <xdr:pic>
      <xdr:nvPicPr>
        <xdr:cNvPr id="0" name="image229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095375" cy="1095375"/>
    <xdr:pic>
      <xdr:nvPicPr>
        <xdr:cNvPr id="0" name="image218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085850" cy="1009650"/>
    <xdr:pic>
      <xdr:nvPicPr>
        <xdr:cNvPr id="0" name="image232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085850" cy="1085850"/>
    <xdr:pic>
      <xdr:nvPicPr>
        <xdr:cNvPr id="0" name="image238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095375" cy="1095375"/>
    <xdr:pic>
      <xdr:nvPicPr>
        <xdr:cNvPr id="0" name="image251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095375" cy="1095375"/>
    <xdr:pic>
      <xdr:nvPicPr>
        <xdr:cNvPr id="0" name="image245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095375" cy="1095375"/>
    <xdr:pic>
      <xdr:nvPicPr>
        <xdr:cNvPr id="0" name="image228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085850" cy="1057275"/>
    <xdr:pic>
      <xdr:nvPicPr>
        <xdr:cNvPr id="0" name="image231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095375" cy="1095375"/>
    <xdr:pic>
      <xdr:nvPicPr>
        <xdr:cNvPr id="0" name="image237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085850" cy="1028700"/>
    <xdr:pic>
      <xdr:nvPicPr>
        <xdr:cNvPr id="0" name="image249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095375" cy="1057275"/>
    <xdr:pic>
      <xdr:nvPicPr>
        <xdr:cNvPr id="0" name="image247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085850" cy="1085850"/>
    <xdr:pic>
      <xdr:nvPicPr>
        <xdr:cNvPr id="0" name="image236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085850" cy="1085850"/>
    <xdr:pic>
      <xdr:nvPicPr>
        <xdr:cNvPr id="0" name="image235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085850" cy="1085850"/>
    <xdr:pic>
      <xdr:nvPicPr>
        <xdr:cNvPr id="0" name="image242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095375" cy="1057275"/>
    <xdr:pic>
      <xdr:nvPicPr>
        <xdr:cNvPr id="0" name="image241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085850" cy="1085850"/>
    <xdr:pic>
      <xdr:nvPicPr>
        <xdr:cNvPr id="0" name="image234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047750" cy="1143000"/>
    <xdr:pic>
      <xdr:nvPicPr>
        <xdr:cNvPr id="0" name="image233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076325" cy="1143000"/>
    <xdr:pic>
      <xdr:nvPicPr>
        <xdr:cNvPr id="0" name="image239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047750" cy="1143000"/>
    <xdr:pic>
      <xdr:nvPicPr>
        <xdr:cNvPr id="0" name="image240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1085850" cy="1085850"/>
    <xdr:pic>
      <xdr:nvPicPr>
        <xdr:cNvPr id="0" name="image252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1066800" cy="1143000"/>
    <xdr:pic>
      <xdr:nvPicPr>
        <xdr:cNvPr id="0" name="image248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095375" cy="1095375"/>
    <xdr:pic>
      <xdr:nvPicPr>
        <xdr:cNvPr id="0" name="image244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</xdr:row>
      <xdr:rowOff>0</xdr:rowOff>
    </xdr:from>
    <xdr:ext cx="1076325" cy="1143000"/>
    <xdr:pic>
      <xdr:nvPicPr>
        <xdr:cNvPr id="0" name="image246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095375" cy="1114425"/>
    <xdr:pic>
      <xdr:nvPicPr>
        <xdr:cNvPr id="0" name="image250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085850" cy="1085850"/>
    <xdr:pic>
      <xdr:nvPicPr>
        <xdr:cNvPr id="0" name="image243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5</xdr:row>
      <xdr:rowOff>0</xdr:rowOff>
    </xdr:from>
    <xdr:ext cx="1143000" cy="1143000"/>
    <xdr:pic>
      <xdr:nvPicPr>
        <xdr:cNvPr id="0" name="image60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190625" cy="1190625"/>
    <xdr:pic>
      <xdr:nvPicPr>
        <xdr:cNvPr id="0" name="image3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28725" cy="1228725"/>
    <xdr:pic>
      <xdr:nvPicPr>
        <xdr:cNvPr id="0" name="image3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561975" cy="1123950"/>
    <xdr:pic>
      <xdr:nvPicPr>
        <xdr:cNvPr id="0" name="image40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</xdr:colOff>
      <xdr:row>8</xdr:row>
      <xdr:rowOff>66675</xdr:rowOff>
    </xdr:from>
    <xdr:ext cx="1171575" cy="1219200"/>
    <xdr:pic>
      <xdr:nvPicPr>
        <xdr:cNvPr id="0" name="image3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</xdr:row>
      <xdr:rowOff>0</xdr:rowOff>
    </xdr:from>
    <xdr:ext cx="1295400" cy="1295400"/>
    <xdr:pic>
      <xdr:nvPicPr>
        <xdr:cNvPr id="0" name="image28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95400" cy="1295400"/>
    <xdr:pic>
      <xdr:nvPicPr>
        <xdr:cNvPr id="0" name="image2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295400" cy="1295400"/>
    <xdr:pic>
      <xdr:nvPicPr>
        <xdr:cNvPr id="0" name="image3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95400" cy="1219200"/>
    <xdr:pic>
      <xdr:nvPicPr>
        <xdr:cNvPr id="0" name="image3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276350" cy="1390650"/>
    <xdr:pic>
      <xdr:nvPicPr>
        <xdr:cNvPr id="0" name="image3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295400" cy="1362075"/>
    <xdr:pic>
      <xdr:nvPicPr>
        <xdr:cNvPr id="0" name="image34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295400" cy="1371600"/>
    <xdr:pic>
      <xdr:nvPicPr>
        <xdr:cNvPr id="0" name="image4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95400" cy="1343025"/>
    <xdr:pic>
      <xdr:nvPicPr>
        <xdr:cNvPr id="0" name="image44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95400" cy="1362075"/>
    <xdr:pic>
      <xdr:nvPicPr>
        <xdr:cNvPr id="0" name="image35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295400" cy="1295400"/>
    <xdr:pic>
      <xdr:nvPicPr>
        <xdr:cNvPr id="0" name="image42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295400" cy="1295400"/>
    <xdr:pic>
      <xdr:nvPicPr>
        <xdr:cNvPr id="0" name="image43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95400" cy="1028700"/>
    <xdr:pic>
      <xdr:nvPicPr>
        <xdr:cNvPr id="0" name="image46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295400" cy="1295400"/>
    <xdr:pic>
      <xdr:nvPicPr>
        <xdr:cNvPr id="0" name="image45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295400" cy="1295400"/>
    <xdr:pic>
      <xdr:nvPicPr>
        <xdr:cNvPr id="0" name="image71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295400" cy="1362075"/>
    <xdr:pic>
      <xdr:nvPicPr>
        <xdr:cNvPr id="0" name="image48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295400" cy="1295400"/>
    <xdr:pic>
      <xdr:nvPicPr>
        <xdr:cNvPr id="0" name="image50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295400" cy="1362075"/>
    <xdr:pic>
      <xdr:nvPicPr>
        <xdr:cNvPr id="0" name="image52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295400" cy="1381125"/>
    <xdr:pic>
      <xdr:nvPicPr>
        <xdr:cNvPr id="0" name="image47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4</xdr:row>
      <xdr:rowOff>0</xdr:rowOff>
    </xdr:from>
    <xdr:ext cx="1114425" cy="1162050"/>
    <xdr:pic>
      <xdr:nvPicPr>
        <xdr:cNvPr id="0" name="image90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14425" cy="1143000"/>
    <xdr:pic>
      <xdr:nvPicPr>
        <xdr:cNvPr id="0" name="image5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114425" cy="1181100"/>
    <xdr:pic>
      <xdr:nvPicPr>
        <xdr:cNvPr id="0" name="image6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14425" cy="1162050"/>
    <xdr:pic>
      <xdr:nvPicPr>
        <xdr:cNvPr id="0" name="image4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114425" cy="1143000"/>
    <xdr:pic>
      <xdr:nvPicPr>
        <xdr:cNvPr id="0" name="image5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114425" cy="771525"/>
    <xdr:pic>
      <xdr:nvPicPr>
        <xdr:cNvPr id="0" name="image6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114425" cy="1171575"/>
    <xdr:pic>
      <xdr:nvPicPr>
        <xdr:cNvPr id="0" name="image7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114425" cy="1162050"/>
    <xdr:pic>
      <xdr:nvPicPr>
        <xdr:cNvPr id="0" name="image5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114425" cy="1181100"/>
    <xdr:pic>
      <xdr:nvPicPr>
        <xdr:cNvPr id="0" name="image54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114425" cy="1162050"/>
    <xdr:pic>
      <xdr:nvPicPr>
        <xdr:cNvPr id="0" name="image59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114425" cy="1133475"/>
    <xdr:pic>
      <xdr:nvPicPr>
        <xdr:cNvPr id="0" name="image58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114425" cy="1162050"/>
    <xdr:pic>
      <xdr:nvPicPr>
        <xdr:cNvPr id="0" name="image64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114425" cy="771525"/>
    <xdr:pic>
      <xdr:nvPicPr>
        <xdr:cNvPr id="0" name="image61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114425" cy="790575"/>
    <xdr:pic>
      <xdr:nvPicPr>
        <xdr:cNvPr id="0" name="image57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114425" cy="771525"/>
    <xdr:pic>
      <xdr:nvPicPr>
        <xdr:cNvPr id="0" name="image63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114425" cy="771525"/>
    <xdr:pic>
      <xdr:nvPicPr>
        <xdr:cNvPr id="0" name="image73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114425" cy="1114425"/>
    <xdr:pic>
      <xdr:nvPicPr>
        <xdr:cNvPr id="0" name="image56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114425" cy="1162050"/>
    <xdr:pic>
      <xdr:nvPicPr>
        <xdr:cNvPr id="0" name="image81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114425" cy="1162050"/>
    <xdr:pic>
      <xdr:nvPicPr>
        <xdr:cNvPr id="0" name="image67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114425" cy="1143000"/>
    <xdr:pic>
      <xdr:nvPicPr>
        <xdr:cNvPr id="0" name="image70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104900" cy="733425"/>
    <xdr:pic>
      <xdr:nvPicPr>
        <xdr:cNvPr id="0" name="image79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114425" cy="1162050"/>
    <xdr:pic>
      <xdr:nvPicPr>
        <xdr:cNvPr id="0" name="image68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114425" cy="1114425"/>
    <xdr:pic>
      <xdr:nvPicPr>
        <xdr:cNvPr id="0" name="image93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114425" cy="1114425"/>
    <xdr:pic>
      <xdr:nvPicPr>
        <xdr:cNvPr id="0" name="image74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114425" cy="1114425"/>
    <xdr:pic>
      <xdr:nvPicPr>
        <xdr:cNvPr id="0" name="image86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114425" cy="1114425"/>
    <xdr:pic>
      <xdr:nvPicPr>
        <xdr:cNvPr id="0" name="image84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114425" cy="1114425"/>
    <xdr:pic>
      <xdr:nvPicPr>
        <xdr:cNvPr id="0" name="image76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114425" cy="1114425"/>
    <xdr:pic>
      <xdr:nvPicPr>
        <xdr:cNvPr id="0" name="image75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114425" cy="1162050"/>
    <xdr:pic>
      <xdr:nvPicPr>
        <xdr:cNvPr id="0" name="image69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114425" cy="1114425"/>
    <xdr:pic>
      <xdr:nvPicPr>
        <xdr:cNvPr id="0" name="image80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8</xdr:row>
      <xdr:rowOff>0</xdr:rowOff>
    </xdr:from>
    <xdr:ext cx="1038225" cy="1038225"/>
    <xdr:pic>
      <xdr:nvPicPr>
        <xdr:cNvPr id="0" name="image9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038225" cy="1038225"/>
    <xdr:pic>
      <xdr:nvPicPr>
        <xdr:cNvPr id="0" name="image8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038225" cy="1038225"/>
    <xdr:pic>
      <xdr:nvPicPr>
        <xdr:cNvPr id="0" name="image8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38225" cy="1038225"/>
    <xdr:pic>
      <xdr:nvPicPr>
        <xdr:cNvPr id="0" name="image78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038225" cy="885825"/>
    <xdr:pic>
      <xdr:nvPicPr>
        <xdr:cNvPr id="0" name="image87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038225" cy="1038225"/>
    <xdr:pic>
      <xdr:nvPicPr>
        <xdr:cNvPr id="0" name="image10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</xdr:colOff>
      <xdr:row>5</xdr:row>
      <xdr:rowOff>28575</xdr:rowOff>
    </xdr:from>
    <xdr:ext cx="1114425" cy="1095375"/>
    <xdr:pic>
      <xdr:nvPicPr>
        <xdr:cNvPr id="0" name="image85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25</xdr:row>
      <xdr:rowOff>47625</xdr:rowOff>
    </xdr:from>
    <xdr:ext cx="1057275" cy="1114425"/>
    <xdr:pic>
      <xdr:nvPicPr>
        <xdr:cNvPr id="0" name="image77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10</xdr:row>
      <xdr:rowOff>104775</xdr:rowOff>
    </xdr:from>
    <xdr:ext cx="1066800" cy="1104900"/>
    <xdr:pic>
      <xdr:nvPicPr>
        <xdr:cNvPr id="0" name="image9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6</xdr:row>
      <xdr:rowOff>38100</xdr:rowOff>
    </xdr:from>
    <xdr:ext cx="1066800" cy="1104900"/>
    <xdr:pic>
      <xdr:nvPicPr>
        <xdr:cNvPr id="0" name="image10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15</xdr:row>
      <xdr:rowOff>47625</xdr:rowOff>
    </xdr:from>
    <xdr:ext cx="1066800" cy="1123950"/>
    <xdr:pic>
      <xdr:nvPicPr>
        <xdr:cNvPr id="0" name="image10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</xdr:row>
      <xdr:rowOff>104775</xdr:rowOff>
    </xdr:from>
    <xdr:ext cx="1057275" cy="1095375"/>
    <xdr:pic>
      <xdr:nvPicPr>
        <xdr:cNvPr id="0" name="image10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266825" cy="1266825"/>
    <xdr:pic>
      <xdr:nvPicPr>
        <xdr:cNvPr id="0" name="image89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162050" cy="1266825"/>
    <xdr:pic>
      <xdr:nvPicPr>
        <xdr:cNvPr id="0" name="image8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123950" cy="1266825"/>
    <xdr:pic>
      <xdr:nvPicPr>
        <xdr:cNvPr id="0" name="image100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09675" cy="1266825"/>
    <xdr:pic>
      <xdr:nvPicPr>
        <xdr:cNvPr id="0" name="image113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09675" cy="1266825"/>
    <xdr:pic>
      <xdr:nvPicPr>
        <xdr:cNvPr id="0" name="image97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181100" cy="1266825"/>
    <xdr:pic>
      <xdr:nvPicPr>
        <xdr:cNvPr id="0" name="image99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171575" cy="1266825"/>
    <xdr:pic>
      <xdr:nvPicPr>
        <xdr:cNvPr id="0" name="image92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266825" cy="1266825"/>
    <xdr:pic>
      <xdr:nvPicPr>
        <xdr:cNvPr id="0" name="image96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209675" cy="1266825"/>
    <xdr:pic>
      <xdr:nvPicPr>
        <xdr:cNvPr id="0" name="image98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171575" cy="1266825"/>
    <xdr:pic>
      <xdr:nvPicPr>
        <xdr:cNvPr id="0" name="image107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209675" cy="1266825"/>
    <xdr:pic>
      <xdr:nvPicPr>
        <xdr:cNvPr id="0" name="image95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209675" cy="1266825"/>
    <xdr:pic>
      <xdr:nvPicPr>
        <xdr:cNvPr id="0" name="image128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190625" cy="1266825"/>
    <xdr:pic>
      <xdr:nvPicPr>
        <xdr:cNvPr id="0" name="image111.jp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209675" cy="1266825"/>
    <xdr:pic>
      <xdr:nvPicPr>
        <xdr:cNvPr id="0" name="image103.jp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09675" cy="1266825"/>
    <xdr:pic>
      <xdr:nvPicPr>
        <xdr:cNvPr id="0" name="image142.jp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266825" cy="1266825"/>
    <xdr:pic>
      <xdr:nvPicPr>
        <xdr:cNvPr id="0" name="image122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66825" cy="1266825"/>
    <xdr:pic>
      <xdr:nvPicPr>
        <xdr:cNvPr id="0" name="image105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</xdr:colOff>
      <xdr:row>7</xdr:row>
      <xdr:rowOff>28575</xdr:rowOff>
    </xdr:from>
    <xdr:ext cx="1143000" cy="1143000"/>
    <xdr:pic>
      <xdr:nvPicPr>
        <xdr:cNvPr id="0" name="image10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7</xdr:row>
      <xdr:rowOff>38100</xdr:rowOff>
    </xdr:from>
    <xdr:ext cx="1143000" cy="1143000"/>
    <xdr:pic>
      <xdr:nvPicPr>
        <xdr:cNvPr id="0" name="image10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7</xdr:row>
      <xdr:rowOff>76200</xdr:rowOff>
    </xdr:from>
    <xdr:ext cx="1438275" cy="1495425"/>
    <xdr:pic>
      <xdr:nvPicPr>
        <xdr:cNvPr id="0" name="image10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1104900</xdr:colOff>
      <xdr:row>29</xdr:row>
      <xdr:rowOff>76200</xdr:rowOff>
    </xdr:from>
    <xdr:ext cx="1447800" cy="1524000"/>
    <xdr:pic>
      <xdr:nvPicPr>
        <xdr:cNvPr id="0" name="image12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</xdr:row>
      <xdr:rowOff>0</xdr:rowOff>
    </xdr:from>
    <xdr:ext cx="1552575" cy="1552575"/>
    <xdr:pic>
      <xdr:nvPicPr>
        <xdr:cNvPr id="0" name="image11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552575" cy="1619250"/>
    <xdr:pic>
      <xdr:nvPicPr>
        <xdr:cNvPr id="0" name="image11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552575" cy="1552575"/>
    <xdr:pic>
      <xdr:nvPicPr>
        <xdr:cNvPr id="0" name="image11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552575" cy="1552575"/>
    <xdr:pic>
      <xdr:nvPicPr>
        <xdr:cNvPr id="0" name="image110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552575" cy="1552575"/>
    <xdr:pic>
      <xdr:nvPicPr>
        <xdr:cNvPr id="0" name="image127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552575" cy="1628775"/>
    <xdr:pic>
      <xdr:nvPicPr>
        <xdr:cNvPr id="0" name="image118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552575" cy="1438275"/>
    <xdr:pic>
      <xdr:nvPicPr>
        <xdr:cNvPr id="0" name="image117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552575" cy="1552575"/>
    <xdr:pic>
      <xdr:nvPicPr>
        <xdr:cNvPr id="0" name="image120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552575" cy="1552575"/>
    <xdr:pic>
      <xdr:nvPicPr>
        <xdr:cNvPr id="0" name="image121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552575" cy="1552575"/>
    <xdr:pic>
      <xdr:nvPicPr>
        <xdr:cNvPr id="0" name="image140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552575" cy="1628775"/>
    <xdr:pic>
      <xdr:nvPicPr>
        <xdr:cNvPr id="0" name="image125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552575" cy="1381125"/>
    <xdr:pic>
      <xdr:nvPicPr>
        <xdr:cNvPr id="0" name="image133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552575" cy="1628775"/>
    <xdr:pic>
      <xdr:nvPicPr>
        <xdr:cNvPr id="0" name="image119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552575" cy="1552575"/>
    <xdr:pic>
      <xdr:nvPicPr>
        <xdr:cNvPr id="0" name="image124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552575" cy="1638300"/>
    <xdr:pic>
      <xdr:nvPicPr>
        <xdr:cNvPr id="0" name="image116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552575" cy="1552575"/>
    <xdr:pic>
      <xdr:nvPicPr>
        <xdr:cNvPr id="0" name="image126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552575" cy="1552575"/>
    <xdr:pic>
      <xdr:nvPicPr>
        <xdr:cNvPr id="0" name="image134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552575" cy="1323975"/>
    <xdr:pic>
      <xdr:nvPicPr>
        <xdr:cNvPr id="0" name="image139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552575" cy="1600200"/>
    <xdr:pic>
      <xdr:nvPicPr>
        <xdr:cNvPr id="0" name="image129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552575" cy="1619250"/>
    <xdr:pic>
      <xdr:nvPicPr>
        <xdr:cNvPr id="0" name="image141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552575" cy="1619250"/>
    <xdr:pic>
      <xdr:nvPicPr>
        <xdr:cNvPr id="0" name="image136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552575" cy="1485900"/>
    <xdr:pic>
      <xdr:nvPicPr>
        <xdr:cNvPr id="0" name="image132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533525" cy="1647825"/>
    <xdr:pic>
      <xdr:nvPicPr>
        <xdr:cNvPr id="0" name="image130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552575" cy="1628775"/>
    <xdr:pic>
      <xdr:nvPicPr>
        <xdr:cNvPr id="0" name="image137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552575" cy="1552575"/>
    <xdr:pic>
      <xdr:nvPicPr>
        <xdr:cNvPr id="0" name="image138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552575" cy="1552575"/>
    <xdr:pic>
      <xdr:nvPicPr>
        <xdr:cNvPr id="0" name="image158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552575" cy="1552575"/>
    <xdr:pic>
      <xdr:nvPicPr>
        <xdr:cNvPr id="0" name="image155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552575" cy="1552575"/>
    <xdr:pic>
      <xdr:nvPicPr>
        <xdr:cNvPr id="0" name="image135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552575" cy="1628775"/>
    <xdr:pic>
      <xdr:nvPicPr>
        <xdr:cNvPr id="0" name="image131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66675</xdr:colOff>
      <xdr:row>38</xdr:row>
      <xdr:rowOff>9525</xdr:rowOff>
    </xdr:from>
    <xdr:ext cx="1104900" cy="1104900"/>
    <xdr:pic>
      <xdr:nvPicPr>
        <xdr:cNvPr id="0" name="image14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9</xdr:row>
      <xdr:rowOff>47625</xdr:rowOff>
    </xdr:from>
    <xdr:ext cx="1133475" cy="1190625"/>
    <xdr:pic>
      <xdr:nvPicPr>
        <xdr:cNvPr id="0" name="image160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10</xdr:row>
      <xdr:rowOff>57150</xdr:rowOff>
    </xdr:from>
    <xdr:ext cx="1123950" cy="1133475"/>
    <xdr:pic>
      <xdr:nvPicPr>
        <xdr:cNvPr id="0" name="image14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16</xdr:row>
      <xdr:rowOff>38100</xdr:rowOff>
    </xdr:from>
    <xdr:ext cx="1133475" cy="1162050"/>
    <xdr:pic>
      <xdr:nvPicPr>
        <xdr:cNvPr id="0" name="image144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17</xdr:row>
      <xdr:rowOff>76200</xdr:rowOff>
    </xdr:from>
    <xdr:ext cx="1104900" cy="1133475"/>
    <xdr:pic>
      <xdr:nvPicPr>
        <xdr:cNvPr id="0" name="image154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47</xdr:row>
      <xdr:rowOff>38100</xdr:rowOff>
    </xdr:from>
    <xdr:ext cx="1143000" cy="1133475"/>
    <xdr:pic>
      <xdr:nvPicPr>
        <xdr:cNvPr id="0" name="image145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247775" cy="1266825"/>
    <xdr:pic>
      <xdr:nvPicPr>
        <xdr:cNvPr id="0" name="image146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66825" cy="1266825"/>
    <xdr:pic>
      <xdr:nvPicPr>
        <xdr:cNvPr id="0" name="image148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266825" cy="1266825"/>
    <xdr:pic>
      <xdr:nvPicPr>
        <xdr:cNvPr id="0" name="image149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266825" cy="1266825"/>
    <xdr:pic>
      <xdr:nvPicPr>
        <xdr:cNvPr id="0" name="image152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19200" cy="1266825"/>
    <xdr:pic>
      <xdr:nvPicPr>
        <xdr:cNvPr id="0" name="image172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66825" cy="1266825"/>
    <xdr:pic>
      <xdr:nvPicPr>
        <xdr:cNvPr id="0" name="image190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266825" cy="1162050"/>
    <xdr:pic>
      <xdr:nvPicPr>
        <xdr:cNvPr id="0" name="image192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200150" cy="1266825"/>
    <xdr:pic>
      <xdr:nvPicPr>
        <xdr:cNvPr id="0" name="image156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266825" cy="1266825"/>
    <xdr:pic>
      <xdr:nvPicPr>
        <xdr:cNvPr id="0" name="image174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266825" cy="1266825"/>
    <xdr:pic>
      <xdr:nvPicPr>
        <xdr:cNvPr id="0" name="image150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66825" cy="1266825"/>
    <xdr:pic>
      <xdr:nvPicPr>
        <xdr:cNvPr id="0" name="image151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266825" cy="1266825"/>
    <xdr:pic>
      <xdr:nvPicPr>
        <xdr:cNvPr id="0" name="image157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266825" cy="1266825"/>
    <xdr:pic>
      <xdr:nvPicPr>
        <xdr:cNvPr id="0" name="image164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09675" cy="1266825"/>
    <xdr:pic>
      <xdr:nvPicPr>
        <xdr:cNvPr id="0" name="image161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66825" cy="1266825"/>
    <xdr:pic>
      <xdr:nvPicPr>
        <xdr:cNvPr id="0" name="image159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247775" cy="1266825"/>
    <xdr:pic>
      <xdr:nvPicPr>
        <xdr:cNvPr id="0" name="image153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266825" cy="1266825"/>
    <xdr:pic>
      <xdr:nvPicPr>
        <xdr:cNvPr id="0" name="image170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266825" cy="1266825"/>
    <xdr:pic>
      <xdr:nvPicPr>
        <xdr:cNvPr id="0" name="image163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266825" cy="1266825"/>
    <xdr:pic>
      <xdr:nvPicPr>
        <xdr:cNvPr id="0" name="image180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266825" cy="1266825"/>
    <xdr:pic>
      <xdr:nvPicPr>
        <xdr:cNvPr id="0" name="image185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266825" cy="1266825"/>
    <xdr:pic>
      <xdr:nvPicPr>
        <xdr:cNvPr id="0" name="image182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238250" cy="1266825"/>
    <xdr:pic>
      <xdr:nvPicPr>
        <xdr:cNvPr id="0" name="image167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1209675" cy="1266825"/>
    <xdr:pic>
      <xdr:nvPicPr>
        <xdr:cNvPr id="0" name="image165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266825" cy="1266825"/>
    <xdr:pic>
      <xdr:nvPicPr>
        <xdr:cNvPr id="0" name="image166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1247775" cy="1266825"/>
    <xdr:pic>
      <xdr:nvPicPr>
        <xdr:cNvPr id="0" name="image168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1266825" cy="1266825"/>
    <xdr:pic>
      <xdr:nvPicPr>
        <xdr:cNvPr id="0" name="image177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266825" cy="1009650"/>
    <xdr:pic>
      <xdr:nvPicPr>
        <xdr:cNvPr id="0" name="image171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</xdr:row>
      <xdr:rowOff>0</xdr:rowOff>
    </xdr:from>
    <xdr:ext cx="1266825" cy="1266825"/>
    <xdr:pic>
      <xdr:nvPicPr>
        <xdr:cNvPr id="0" name="image175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1266825" cy="1266825"/>
    <xdr:pic>
      <xdr:nvPicPr>
        <xdr:cNvPr id="0" name="image178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266825" cy="1266825"/>
    <xdr:pic>
      <xdr:nvPicPr>
        <xdr:cNvPr id="0" name="image173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266825" cy="1266825"/>
    <xdr:pic>
      <xdr:nvPicPr>
        <xdr:cNvPr id="0" name="image162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1247775" cy="1266825"/>
    <xdr:pic>
      <xdr:nvPicPr>
        <xdr:cNvPr id="0" name="image176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1209675" cy="1266825"/>
    <xdr:pic>
      <xdr:nvPicPr>
        <xdr:cNvPr id="0" name="image197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49</xdr:row>
      <xdr:rowOff>0</xdr:rowOff>
    </xdr:from>
    <xdr:ext cx="1181100" cy="1266825"/>
    <xdr:pic>
      <xdr:nvPicPr>
        <xdr:cNvPr id="0" name="image179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50</xdr:row>
      <xdr:rowOff>0</xdr:rowOff>
    </xdr:from>
    <xdr:ext cx="1209675" cy="1266825"/>
    <xdr:pic>
      <xdr:nvPicPr>
        <xdr:cNvPr id="0" name="image169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1266825" cy="1266825"/>
    <xdr:pic>
      <xdr:nvPicPr>
        <xdr:cNvPr id="0" name="image188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52</xdr:row>
      <xdr:rowOff>0</xdr:rowOff>
    </xdr:from>
    <xdr:ext cx="1266825" cy="1266825"/>
    <xdr:pic>
      <xdr:nvPicPr>
        <xdr:cNvPr id="0" name="image181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1266825" cy="1266825"/>
    <xdr:pic>
      <xdr:nvPicPr>
        <xdr:cNvPr id="0" name="image183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47625</xdr:colOff>
      <xdr:row>12</xdr:row>
      <xdr:rowOff>47625</xdr:rowOff>
    </xdr:from>
    <xdr:ext cx="1143000" cy="1200150"/>
    <xdr:pic>
      <xdr:nvPicPr>
        <xdr:cNvPr id="0" name="image19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13</xdr:row>
      <xdr:rowOff>57150</xdr:rowOff>
    </xdr:from>
    <xdr:ext cx="1123950" cy="1181100"/>
    <xdr:pic>
      <xdr:nvPicPr>
        <xdr:cNvPr id="0" name="image210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17</xdr:row>
      <xdr:rowOff>57150</xdr:rowOff>
    </xdr:from>
    <xdr:ext cx="1133475" cy="1133475"/>
    <xdr:pic>
      <xdr:nvPicPr>
        <xdr:cNvPr id="0" name="image18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19</xdr:row>
      <xdr:rowOff>28575</xdr:rowOff>
    </xdr:from>
    <xdr:ext cx="1143000" cy="1152525"/>
    <xdr:pic>
      <xdr:nvPicPr>
        <xdr:cNvPr id="0" name="image21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20</xdr:row>
      <xdr:rowOff>47625</xdr:rowOff>
    </xdr:from>
    <xdr:ext cx="1123950" cy="1152525"/>
    <xdr:pic>
      <xdr:nvPicPr>
        <xdr:cNvPr id="0" name="image195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266825" cy="1266825"/>
    <xdr:pic>
      <xdr:nvPicPr>
        <xdr:cNvPr id="0" name="image189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1266825"/>
    <xdr:pic>
      <xdr:nvPicPr>
        <xdr:cNvPr id="0" name="image230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257300" cy="1266825"/>
    <xdr:pic>
      <xdr:nvPicPr>
        <xdr:cNvPr id="0" name="image196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257300" cy="1266825"/>
    <xdr:pic>
      <xdr:nvPicPr>
        <xdr:cNvPr id="0" name="image193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266825" cy="1266825"/>
    <xdr:pic>
      <xdr:nvPicPr>
        <xdr:cNvPr id="0" name="image199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266825" cy="1266825"/>
    <xdr:pic>
      <xdr:nvPicPr>
        <xdr:cNvPr id="0" name="image194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66825" cy="1266825"/>
    <xdr:pic>
      <xdr:nvPicPr>
        <xdr:cNvPr id="0" name="image187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266825" cy="1266825"/>
    <xdr:pic>
      <xdr:nvPicPr>
        <xdr:cNvPr id="0" name="image186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266825" cy="1266825"/>
    <xdr:pic>
      <xdr:nvPicPr>
        <xdr:cNvPr id="0" name="image202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266825" cy="1266825"/>
    <xdr:pic>
      <xdr:nvPicPr>
        <xdr:cNvPr id="0" name="image203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266825" cy="1266825"/>
    <xdr:pic>
      <xdr:nvPicPr>
        <xdr:cNvPr id="0" name="image204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266825" cy="1266825"/>
    <xdr:pic>
      <xdr:nvPicPr>
        <xdr:cNvPr id="0" name="image200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66825" cy="1266825"/>
    <xdr:pic>
      <xdr:nvPicPr>
        <xdr:cNvPr id="0" name="image198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57300" cy="1257300"/>
    <xdr:pic>
      <xdr:nvPicPr>
        <xdr:cNvPr id="0" name="image207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266825" cy="1266825"/>
    <xdr:pic>
      <xdr:nvPicPr>
        <xdr:cNvPr id="0" name="image217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266825" cy="1266825"/>
    <xdr:pic>
      <xdr:nvPicPr>
        <xdr:cNvPr id="0" name="image212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266825" cy="1266825"/>
    <xdr:pic>
      <xdr:nvPicPr>
        <xdr:cNvPr id="0" name="image206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266825" cy="1266825"/>
    <xdr:pic>
      <xdr:nvPicPr>
        <xdr:cNvPr id="0" name="image208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266825" cy="1266825"/>
    <xdr:pic>
      <xdr:nvPicPr>
        <xdr:cNvPr id="0" name="image205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1266825" cy="1266825"/>
    <xdr:pic>
      <xdr:nvPicPr>
        <xdr:cNvPr id="0" name="image215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266825" cy="1266825"/>
    <xdr:pic>
      <xdr:nvPicPr>
        <xdr:cNvPr id="0" name="image201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1266825" cy="1266825"/>
    <xdr:pic>
      <xdr:nvPicPr>
        <xdr:cNvPr id="0" name="image216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1266825" cy="1266825"/>
    <xdr:pic>
      <xdr:nvPicPr>
        <xdr:cNvPr id="0" name="image223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1266825" cy="1266825"/>
    <xdr:pic>
      <xdr:nvPicPr>
        <xdr:cNvPr id="0" name="image225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15.14"/>
    <col customWidth="1" min="3" max="3" width="16.71"/>
    <col customWidth="1" min="4" max="5" width="9.14"/>
    <col customWidth="1" min="6" max="6" width="11.0"/>
    <col customWidth="1" min="7" max="22" width="9.14"/>
    <col customWidth="1" min="23" max="23" width="11.86"/>
    <col customWidth="1" min="24" max="25" width="9.14"/>
  </cols>
  <sheetData>
    <row r="1">
      <c r="F1" s="1"/>
    </row>
    <row r="2">
      <c r="B2" s="2" t="s">
        <v>0</v>
      </c>
      <c r="C2" s="3"/>
      <c r="D2" s="3"/>
      <c r="E2" s="4"/>
      <c r="F2" s="5"/>
      <c r="G2" s="6" t="s">
        <v>1</v>
      </c>
      <c r="H2" s="7" t="s">
        <v>2</v>
      </c>
      <c r="I2" s="8" t="s">
        <v>3</v>
      </c>
      <c r="J2" s="9" t="s">
        <v>4</v>
      </c>
      <c r="K2" s="10" t="s">
        <v>5</v>
      </c>
      <c r="L2" s="11" t="s">
        <v>6</v>
      </c>
      <c r="M2" s="12" t="s">
        <v>7</v>
      </c>
      <c r="N2" s="13" t="s">
        <v>8</v>
      </c>
      <c r="O2" s="14" t="s">
        <v>9</v>
      </c>
      <c r="P2" s="15" t="s">
        <v>10</v>
      </c>
      <c r="Q2" s="16" t="s">
        <v>11</v>
      </c>
      <c r="R2" s="17" t="s">
        <v>12</v>
      </c>
      <c r="S2" s="18" t="s">
        <v>13</v>
      </c>
      <c r="T2" s="4"/>
      <c r="U2" s="4"/>
      <c r="V2" s="4"/>
      <c r="W2" s="4"/>
      <c r="Y2" s="19"/>
    </row>
    <row r="3">
      <c r="B3" s="20" t="s">
        <v>14</v>
      </c>
      <c r="C3" s="21" t="s">
        <v>15</v>
      </c>
      <c r="D3" s="22" t="s">
        <v>16</v>
      </c>
      <c r="E3" s="22" t="s">
        <v>17</v>
      </c>
      <c r="F3" s="23" t="s">
        <v>18</v>
      </c>
      <c r="G3" s="24">
        <v>2.0</v>
      </c>
      <c r="H3" s="25">
        <v>5.0</v>
      </c>
      <c r="I3" s="26">
        <v>7.0</v>
      </c>
      <c r="J3" s="27">
        <v>10.0</v>
      </c>
      <c r="K3" s="28">
        <v>11.0</v>
      </c>
      <c r="L3" s="29">
        <v>12.0</v>
      </c>
      <c r="M3" s="30">
        <v>13.0</v>
      </c>
      <c r="N3" s="31">
        <v>16.0</v>
      </c>
      <c r="O3" s="32">
        <v>69.0</v>
      </c>
      <c r="P3" s="33">
        <v>76.0</v>
      </c>
      <c r="Q3" s="34">
        <v>77.0</v>
      </c>
      <c r="R3" s="35">
        <v>79.0</v>
      </c>
      <c r="S3" s="36">
        <v>81.0</v>
      </c>
      <c r="T3" s="37" t="s">
        <v>19</v>
      </c>
      <c r="U3" s="37" t="s">
        <v>20</v>
      </c>
      <c r="V3" s="38" t="s">
        <v>21</v>
      </c>
      <c r="W3" s="39" t="s">
        <v>22</v>
      </c>
      <c r="Y3" s="19"/>
    </row>
    <row r="4">
      <c r="B4" s="40"/>
      <c r="C4" s="40"/>
      <c r="D4" s="40"/>
      <c r="E4" s="40"/>
      <c r="F4" s="41"/>
      <c r="G4" s="40"/>
      <c r="H4" s="40"/>
      <c r="I4" s="40"/>
      <c r="J4" s="42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Y4" s="19"/>
    </row>
    <row r="5" ht="99.75" customHeight="1">
      <c r="B5" s="43" t="s">
        <v>23</v>
      </c>
      <c r="C5" s="44"/>
      <c r="D5" s="45">
        <v>6.0</v>
      </c>
      <c r="E5" s="45" t="s">
        <v>24</v>
      </c>
      <c r="F5" s="46">
        <v>120.0</v>
      </c>
      <c r="G5" s="47"/>
      <c r="H5" s="48"/>
      <c r="I5" s="49"/>
      <c r="J5" s="50"/>
      <c r="K5" s="51"/>
      <c r="L5" s="52"/>
      <c r="M5" s="53"/>
      <c r="N5" s="54"/>
      <c r="O5" s="55"/>
      <c r="P5" s="56"/>
      <c r="Q5" s="57"/>
      <c r="R5" s="58"/>
      <c r="S5" s="59"/>
      <c r="T5" s="60">
        <f t="shared" ref="T5:T6" si="1">SUM(G5:S5)</f>
        <v>0</v>
      </c>
      <c r="U5" s="60">
        <f>(G5+H5+I5+J5+K5+L5+M5+N5+O5+P5+Q5+R5+S5)*D5</f>
        <v>0</v>
      </c>
      <c r="V5" s="60">
        <f>T5*2.1</f>
        <v>0</v>
      </c>
      <c r="W5" s="61">
        <f>T5*F5</f>
        <v>0</v>
      </c>
      <c r="Y5" s="62"/>
    </row>
    <row r="6" ht="99.75" customHeight="1">
      <c r="B6" s="63" t="s">
        <v>25</v>
      </c>
      <c r="C6" s="64"/>
      <c r="D6" s="65">
        <v>6.0</v>
      </c>
      <c r="E6" s="65" t="s">
        <v>26</v>
      </c>
      <c r="F6" s="46">
        <v>99.0</v>
      </c>
      <c r="G6" s="66"/>
      <c r="H6" s="67"/>
      <c r="I6" s="68"/>
      <c r="J6" s="69"/>
      <c r="K6" s="70"/>
      <c r="L6" s="71"/>
      <c r="M6" s="72"/>
      <c r="N6" s="73"/>
      <c r="O6" s="74"/>
      <c r="P6" s="75"/>
      <c r="Q6" s="76"/>
      <c r="R6" s="77"/>
      <c r="S6" s="78"/>
      <c r="T6" s="79">
        <f t="shared" si="1"/>
        <v>0</v>
      </c>
      <c r="U6" s="79">
        <v>0.0</v>
      </c>
      <c r="V6" s="79">
        <f>T6*1.6</f>
        <v>0</v>
      </c>
      <c r="W6" s="80">
        <f>F6*T6</f>
        <v>0</v>
      </c>
      <c r="Y6" s="62"/>
    </row>
    <row r="7" ht="99.75" customHeight="1">
      <c r="B7" s="81" t="s">
        <v>27</v>
      </c>
      <c r="C7" s="82"/>
      <c r="D7" s="83">
        <v>6.0</v>
      </c>
      <c r="E7" s="83" t="s">
        <v>28</v>
      </c>
      <c r="F7" s="46">
        <v>200.0</v>
      </c>
      <c r="G7" s="66"/>
      <c r="H7" s="67"/>
      <c r="I7" s="68"/>
      <c r="J7" s="69"/>
      <c r="K7" s="70"/>
      <c r="L7" s="71"/>
      <c r="M7" s="72"/>
      <c r="N7" s="73"/>
      <c r="O7" s="74"/>
      <c r="P7" s="75"/>
      <c r="Q7" s="76"/>
      <c r="R7" s="77"/>
      <c r="S7" s="78"/>
      <c r="T7" s="84">
        <f t="shared" ref="T7:T10" si="2">G7+H7+I7+J7+K7+L7+M7+N7+O7+P7+Q7+R7+S7</f>
        <v>0</v>
      </c>
      <c r="U7" s="84">
        <f t="shared" ref="U7:U20" si="3">(G7+H7+I7+J7+K7+L7+M7+N7+O7+P7+Q7+R7+S7)*D7</f>
        <v>0</v>
      </c>
      <c r="V7" s="84">
        <f>T7*2.2</f>
        <v>0</v>
      </c>
      <c r="W7" s="85">
        <f t="shared" ref="W7:W18" si="4">T7*F7</f>
        <v>0</v>
      </c>
      <c r="Y7" s="62"/>
    </row>
    <row r="8" ht="99.75" customHeight="1">
      <c r="B8" s="81" t="s">
        <v>29</v>
      </c>
      <c r="C8" s="82"/>
      <c r="D8" s="83">
        <v>6.0</v>
      </c>
      <c r="E8" s="83" t="s">
        <v>30</v>
      </c>
      <c r="F8" s="46">
        <v>300.0</v>
      </c>
      <c r="G8" s="66"/>
      <c r="H8" s="67"/>
      <c r="I8" s="68"/>
      <c r="J8" s="69"/>
      <c r="K8" s="70"/>
      <c r="L8" s="71"/>
      <c r="M8" s="72"/>
      <c r="N8" s="73"/>
      <c r="O8" s="74"/>
      <c r="P8" s="75"/>
      <c r="Q8" s="76"/>
      <c r="R8" s="77"/>
      <c r="S8" s="78"/>
      <c r="T8" s="84">
        <f t="shared" si="2"/>
        <v>0</v>
      </c>
      <c r="U8" s="84">
        <f t="shared" si="3"/>
        <v>0</v>
      </c>
      <c r="V8" s="84">
        <f>T8*4</f>
        <v>0</v>
      </c>
      <c r="W8" s="85">
        <f t="shared" si="4"/>
        <v>0</v>
      </c>
      <c r="Y8" s="62"/>
    </row>
    <row r="9" ht="99.75" customHeight="1">
      <c r="B9" s="81" t="s">
        <v>31</v>
      </c>
      <c r="C9" s="82"/>
      <c r="D9" s="83">
        <v>6.0</v>
      </c>
      <c r="E9" s="83" t="s">
        <v>32</v>
      </c>
      <c r="F9" s="46">
        <v>402.0</v>
      </c>
      <c r="G9" s="66"/>
      <c r="H9" s="67"/>
      <c r="I9" s="68"/>
      <c r="J9" s="69"/>
      <c r="K9" s="70"/>
      <c r="L9" s="71"/>
      <c r="M9" s="72"/>
      <c r="N9" s="73"/>
      <c r="O9" s="74"/>
      <c r="P9" s="75"/>
      <c r="Q9" s="76"/>
      <c r="R9" s="77"/>
      <c r="S9" s="78"/>
      <c r="T9" s="84">
        <f t="shared" si="2"/>
        <v>0</v>
      </c>
      <c r="U9" s="84">
        <f t="shared" si="3"/>
        <v>0</v>
      </c>
      <c r="V9" s="84">
        <f>T9*5.85</f>
        <v>0</v>
      </c>
      <c r="W9" s="85">
        <f t="shared" si="4"/>
        <v>0</v>
      </c>
      <c r="Y9" s="62"/>
    </row>
    <row r="10" ht="99.75" customHeight="1">
      <c r="B10" s="81" t="s">
        <v>33</v>
      </c>
      <c r="C10" s="82"/>
      <c r="D10" s="83">
        <v>6.0</v>
      </c>
      <c r="E10" s="83" t="s">
        <v>34</v>
      </c>
      <c r="F10" s="46">
        <v>641.0</v>
      </c>
      <c r="G10" s="66"/>
      <c r="H10" s="67"/>
      <c r="I10" s="68"/>
      <c r="J10" s="69"/>
      <c r="K10" s="70"/>
      <c r="L10" s="71"/>
      <c r="M10" s="72"/>
      <c r="N10" s="73"/>
      <c r="O10" s="74"/>
      <c r="P10" s="75"/>
      <c r="Q10" s="76"/>
      <c r="R10" s="77"/>
      <c r="S10" s="78"/>
      <c r="T10" s="84">
        <f t="shared" si="2"/>
        <v>0</v>
      </c>
      <c r="U10" s="84">
        <f t="shared" si="3"/>
        <v>0</v>
      </c>
      <c r="V10" s="84">
        <f>T10*10.2</f>
        <v>0</v>
      </c>
      <c r="W10" s="85">
        <f t="shared" si="4"/>
        <v>0</v>
      </c>
      <c r="Y10" s="62"/>
    </row>
    <row r="11" ht="99.75" customHeight="1">
      <c r="B11" s="81" t="s">
        <v>35</v>
      </c>
      <c r="C11" s="82"/>
      <c r="D11" s="83">
        <v>6.0</v>
      </c>
      <c r="E11" s="83" t="s">
        <v>36</v>
      </c>
      <c r="F11" s="46">
        <v>135.0</v>
      </c>
      <c r="G11" s="66"/>
      <c r="H11" s="67"/>
      <c r="I11" s="68"/>
      <c r="J11" s="69"/>
      <c r="K11" s="70"/>
      <c r="L11" s="71"/>
      <c r="M11" s="72"/>
      <c r="N11" s="73"/>
      <c r="O11" s="74"/>
      <c r="P11" s="75"/>
      <c r="Q11" s="76"/>
      <c r="R11" s="77"/>
      <c r="S11" s="78"/>
      <c r="T11" s="84">
        <f t="shared" ref="T11:T15" si="5">SUM(G11:S11)</f>
        <v>0</v>
      </c>
      <c r="U11" s="84">
        <f t="shared" si="3"/>
        <v>0</v>
      </c>
      <c r="V11" s="84">
        <f>T11*2.34</f>
        <v>0</v>
      </c>
      <c r="W11" s="85">
        <f t="shared" si="4"/>
        <v>0</v>
      </c>
      <c r="Y11" s="62"/>
    </row>
    <row r="12" ht="99.75" customHeight="1">
      <c r="B12" s="81" t="s">
        <v>37</v>
      </c>
      <c r="C12" s="82"/>
      <c r="D12" s="83">
        <v>6.0</v>
      </c>
      <c r="E12" s="83" t="s">
        <v>38</v>
      </c>
      <c r="F12" s="46">
        <v>235.0</v>
      </c>
      <c r="G12" s="66"/>
      <c r="H12" s="67"/>
      <c r="I12" s="68"/>
      <c r="J12" s="69"/>
      <c r="K12" s="70"/>
      <c r="L12" s="71"/>
      <c r="M12" s="72"/>
      <c r="N12" s="73"/>
      <c r="O12" s="74"/>
      <c r="P12" s="75"/>
      <c r="Q12" s="76"/>
      <c r="R12" s="77"/>
      <c r="S12" s="78"/>
      <c r="T12" s="84">
        <f t="shared" si="5"/>
        <v>0</v>
      </c>
      <c r="U12" s="84">
        <f t="shared" si="3"/>
        <v>0</v>
      </c>
      <c r="V12" s="84">
        <f>T12*2.82</f>
        <v>0</v>
      </c>
      <c r="W12" s="85">
        <f t="shared" si="4"/>
        <v>0</v>
      </c>
      <c r="Y12" s="62"/>
    </row>
    <row r="13" ht="99.75" customHeight="1">
      <c r="B13" s="81" t="s">
        <v>39</v>
      </c>
      <c r="C13" s="82"/>
      <c r="D13" s="83">
        <v>6.0</v>
      </c>
      <c r="E13" s="83" t="s">
        <v>40</v>
      </c>
      <c r="F13" s="46">
        <v>348.0</v>
      </c>
      <c r="G13" s="66"/>
      <c r="H13" s="67"/>
      <c r="I13" s="68"/>
      <c r="J13" s="69"/>
      <c r="K13" s="70"/>
      <c r="L13" s="71"/>
      <c r="M13" s="72"/>
      <c r="N13" s="73"/>
      <c r="O13" s="74"/>
      <c r="P13" s="75"/>
      <c r="Q13" s="76"/>
      <c r="R13" s="77"/>
      <c r="S13" s="78"/>
      <c r="T13" s="84">
        <f t="shared" si="5"/>
        <v>0</v>
      </c>
      <c r="U13" s="84">
        <f t="shared" si="3"/>
        <v>0</v>
      </c>
      <c r="V13" s="84">
        <f>T13*4.85</f>
        <v>0</v>
      </c>
      <c r="W13" s="85">
        <f t="shared" si="4"/>
        <v>0</v>
      </c>
      <c r="Y13" s="62"/>
    </row>
    <row r="14" ht="99.75" customHeight="1">
      <c r="B14" s="81" t="s">
        <v>41</v>
      </c>
      <c r="C14" s="82"/>
      <c r="D14" s="83">
        <v>3.0</v>
      </c>
      <c r="E14" s="83" t="s">
        <v>42</v>
      </c>
      <c r="F14" s="46">
        <v>260.0</v>
      </c>
      <c r="G14" s="66"/>
      <c r="H14" s="67"/>
      <c r="I14" s="68"/>
      <c r="J14" s="69"/>
      <c r="K14" s="70"/>
      <c r="L14" s="71"/>
      <c r="M14" s="72"/>
      <c r="N14" s="73"/>
      <c r="O14" s="74"/>
      <c r="P14" s="75"/>
      <c r="Q14" s="76"/>
      <c r="R14" s="77"/>
      <c r="S14" s="78"/>
      <c r="T14" s="84">
        <f t="shared" si="5"/>
        <v>0</v>
      </c>
      <c r="U14" s="84">
        <f t="shared" si="3"/>
        <v>0</v>
      </c>
      <c r="V14" s="84">
        <f>T14*3.95</f>
        <v>0</v>
      </c>
      <c r="W14" s="85">
        <f t="shared" si="4"/>
        <v>0</v>
      </c>
      <c r="Y14" s="62"/>
    </row>
    <row r="15" ht="99.75" customHeight="1">
      <c r="B15" s="63" t="s">
        <v>43</v>
      </c>
      <c r="C15" s="64"/>
      <c r="D15" s="65">
        <v>6.0</v>
      </c>
      <c r="E15" s="65" t="s">
        <v>44</v>
      </c>
      <c r="F15" s="46">
        <v>51.0</v>
      </c>
      <c r="G15" s="66"/>
      <c r="H15" s="67"/>
      <c r="I15" s="68"/>
      <c r="J15" s="69"/>
      <c r="K15" s="70"/>
      <c r="L15" s="71"/>
      <c r="M15" s="72"/>
      <c r="N15" s="73"/>
      <c r="O15" s="74"/>
      <c r="P15" s="75"/>
      <c r="Q15" s="76"/>
      <c r="R15" s="77"/>
      <c r="S15" s="78"/>
      <c r="T15" s="79">
        <f t="shared" si="5"/>
        <v>0</v>
      </c>
      <c r="U15" s="79">
        <f t="shared" si="3"/>
        <v>0</v>
      </c>
      <c r="V15" s="79">
        <f>T15*0.6</f>
        <v>0</v>
      </c>
      <c r="W15" s="80">
        <f t="shared" si="4"/>
        <v>0</v>
      </c>
      <c r="Y15" s="62"/>
    </row>
    <row r="16" ht="99.75" customHeight="1">
      <c r="B16" s="86" t="s">
        <v>45</v>
      </c>
      <c r="C16" s="82"/>
      <c r="D16" s="83">
        <v>6.0</v>
      </c>
      <c r="E16" s="83" t="s">
        <v>46</v>
      </c>
      <c r="F16" s="46">
        <v>58.0</v>
      </c>
      <c r="G16" s="66"/>
      <c r="H16" s="67"/>
      <c r="I16" s="68"/>
      <c r="J16" s="69"/>
      <c r="K16" s="70"/>
      <c r="L16" s="71"/>
      <c r="M16" s="72"/>
      <c r="N16" s="73"/>
      <c r="O16" s="74"/>
      <c r="P16" s="75"/>
      <c r="Q16" s="76"/>
      <c r="R16" s="77"/>
      <c r="S16" s="78"/>
      <c r="T16" s="84">
        <f>G16+H16+I16+J16+K16+L16+M16+N16+O16+P16+Q16+R16+S16</f>
        <v>0</v>
      </c>
      <c r="U16" s="84">
        <f t="shared" si="3"/>
        <v>0</v>
      </c>
      <c r="V16" s="84">
        <f>T16*0.73</f>
        <v>0</v>
      </c>
      <c r="W16" s="85">
        <f t="shared" si="4"/>
        <v>0</v>
      </c>
      <c r="Y16" s="62"/>
    </row>
    <row r="17" ht="99.75" customHeight="1">
      <c r="B17" s="86" t="s">
        <v>47</v>
      </c>
      <c r="C17" s="82"/>
      <c r="D17" s="83">
        <v>6.0</v>
      </c>
      <c r="E17" s="83" t="s">
        <v>48</v>
      </c>
      <c r="F17" s="46">
        <v>28.0</v>
      </c>
      <c r="G17" s="66"/>
      <c r="H17" s="67"/>
      <c r="I17" s="68"/>
      <c r="J17" s="69"/>
      <c r="K17" s="70"/>
      <c r="L17" s="71"/>
      <c r="M17" s="72"/>
      <c r="N17" s="73"/>
      <c r="O17" s="74"/>
      <c r="P17" s="75"/>
      <c r="Q17" s="76"/>
      <c r="R17" s="77"/>
      <c r="S17" s="78"/>
      <c r="T17" s="84">
        <f t="shared" ref="T17:T21" si="6">SUM(G17:S17)</f>
        <v>0</v>
      </c>
      <c r="U17" s="84">
        <f t="shared" si="3"/>
        <v>0</v>
      </c>
      <c r="V17" s="84"/>
      <c r="W17" s="85">
        <f t="shared" si="4"/>
        <v>0</v>
      </c>
      <c r="Y17" s="62"/>
    </row>
    <row r="18" ht="99.75" customHeight="1">
      <c r="B18" s="86" t="s">
        <v>49</v>
      </c>
      <c r="C18" s="82"/>
      <c r="D18" s="83">
        <v>6.0</v>
      </c>
      <c r="E18" s="83" t="s">
        <v>50</v>
      </c>
      <c r="F18" s="46">
        <v>28.0</v>
      </c>
      <c r="G18" s="66"/>
      <c r="H18" s="67"/>
      <c r="I18" s="68"/>
      <c r="J18" s="69"/>
      <c r="K18" s="70"/>
      <c r="L18" s="71"/>
      <c r="M18" s="72"/>
      <c r="N18" s="73"/>
      <c r="O18" s="74"/>
      <c r="P18" s="75"/>
      <c r="Q18" s="76"/>
      <c r="R18" s="77"/>
      <c r="S18" s="78"/>
      <c r="T18" s="84">
        <f t="shared" si="6"/>
        <v>0</v>
      </c>
      <c r="U18" s="84">
        <f t="shared" si="3"/>
        <v>0</v>
      </c>
      <c r="V18" s="84"/>
      <c r="W18" s="85">
        <f t="shared" si="4"/>
        <v>0</v>
      </c>
      <c r="Y18" s="62"/>
    </row>
    <row r="19" ht="99.75" customHeight="1">
      <c r="B19" s="63" t="s">
        <v>51</v>
      </c>
      <c r="C19" s="64"/>
      <c r="D19" s="65">
        <v>6.0</v>
      </c>
      <c r="E19" s="65" t="s">
        <v>52</v>
      </c>
      <c r="F19" s="46">
        <v>33.0</v>
      </c>
      <c r="G19" s="66"/>
      <c r="H19" s="67"/>
      <c r="I19" s="68"/>
      <c r="J19" s="69"/>
      <c r="K19" s="70"/>
      <c r="L19" s="71"/>
      <c r="M19" s="72"/>
      <c r="N19" s="73"/>
      <c r="O19" s="74"/>
      <c r="P19" s="75"/>
      <c r="Q19" s="76"/>
      <c r="R19" s="77"/>
      <c r="S19" s="78"/>
      <c r="T19" s="79">
        <f t="shared" si="6"/>
        <v>0</v>
      </c>
      <c r="U19" s="79">
        <f t="shared" si="3"/>
        <v>0</v>
      </c>
      <c r="V19" s="79">
        <f>T19*0.3</f>
        <v>0</v>
      </c>
      <c r="W19" s="80">
        <f t="shared" ref="W19:W20" si="7">F19*T19</f>
        <v>0</v>
      </c>
      <c r="Y19" s="62"/>
    </row>
    <row r="20" ht="99.75" customHeight="1">
      <c r="B20" s="63" t="s">
        <v>53</v>
      </c>
      <c r="C20" s="64"/>
      <c r="D20" s="65">
        <v>6.0</v>
      </c>
      <c r="E20" s="65" t="s">
        <v>54</v>
      </c>
      <c r="F20" s="46">
        <v>29.0</v>
      </c>
      <c r="G20" s="66"/>
      <c r="H20" s="67"/>
      <c r="I20" s="68"/>
      <c r="J20" s="69"/>
      <c r="K20" s="70"/>
      <c r="L20" s="71"/>
      <c r="M20" s="72"/>
      <c r="N20" s="73"/>
      <c r="O20" s="74"/>
      <c r="P20" s="75"/>
      <c r="Q20" s="76"/>
      <c r="R20" s="77"/>
      <c r="S20" s="78"/>
      <c r="T20" s="79">
        <f t="shared" si="6"/>
        <v>0</v>
      </c>
      <c r="U20" s="79">
        <f t="shared" si="3"/>
        <v>0</v>
      </c>
      <c r="V20" s="79">
        <f>T20*0.2</f>
        <v>0</v>
      </c>
      <c r="W20" s="80">
        <f t="shared" si="7"/>
        <v>0</v>
      </c>
      <c r="Y20" s="62"/>
    </row>
    <row r="21" ht="99.75" customHeight="1">
      <c r="B21" s="81" t="s">
        <v>55</v>
      </c>
      <c r="C21" s="82"/>
      <c r="D21" s="83">
        <v>6.0</v>
      </c>
      <c r="E21" s="83" t="s">
        <v>56</v>
      </c>
      <c r="F21" s="46">
        <v>66.0</v>
      </c>
      <c r="G21" s="66"/>
      <c r="H21" s="67"/>
      <c r="I21" s="68"/>
      <c r="J21" s="69"/>
      <c r="K21" s="70"/>
      <c r="L21" s="71"/>
      <c r="M21" s="72"/>
      <c r="N21" s="73"/>
      <c r="O21" s="74"/>
      <c r="P21" s="75"/>
      <c r="Q21" s="76"/>
      <c r="R21" s="77"/>
      <c r="S21" s="78"/>
      <c r="T21" s="84">
        <f t="shared" si="6"/>
        <v>0</v>
      </c>
      <c r="U21" s="84">
        <f>D21*T21</f>
        <v>0</v>
      </c>
      <c r="V21" s="84">
        <f>T21*0.9</f>
        <v>0</v>
      </c>
      <c r="W21" s="85">
        <f t="shared" ref="W21:W24" si="8">T21*F21</f>
        <v>0</v>
      </c>
      <c r="Y21" s="62"/>
    </row>
    <row r="22" ht="99.75" customHeight="1">
      <c r="B22" s="86" t="s">
        <v>57</v>
      </c>
      <c r="C22" s="82"/>
      <c r="D22" s="83">
        <v>6.0</v>
      </c>
      <c r="E22" s="83" t="s">
        <v>58</v>
      </c>
      <c r="F22" s="46">
        <v>70.0</v>
      </c>
      <c r="G22" s="66"/>
      <c r="H22" s="67"/>
      <c r="I22" s="68"/>
      <c r="J22" s="69"/>
      <c r="K22" s="70"/>
      <c r="L22" s="71"/>
      <c r="M22" s="72"/>
      <c r="N22" s="73"/>
      <c r="O22" s="74"/>
      <c r="P22" s="75"/>
      <c r="Q22" s="76"/>
      <c r="R22" s="77"/>
      <c r="S22" s="78"/>
      <c r="T22" s="84">
        <f>G22+H22+I22+J22+K22+L22+M22+N22+O22+P22+Q22+R22+S22</f>
        <v>0</v>
      </c>
      <c r="U22" s="84">
        <f t="shared" ref="U22:U24" si="9">(G22+H22+I22+J22+K22+L22+M22+N22+O22+P22+Q22+R22+S22)*D22</f>
        <v>0</v>
      </c>
      <c r="V22" s="84">
        <f>T22*0.97</f>
        <v>0</v>
      </c>
      <c r="W22" s="85">
        <f t="shared" si="8"/>
        <v>0</v>
      </c>
      <c r="Y22" s="62"/>
    </row>
    <row r="23" ht="99.75" customHeight="1">
      <c r="B23" s="86" t="s">
        <v>59</v>
      </c>
      <c r="C23" s="82"/>
      <c r="D23" s="83">
        <v>6.0</v>
      </c>
      <c r="E23" s="83" t="s">
        <v>60</v>
      </c>
      <c r="F23" s="46">
        <v>90.0</v>
      </c>
      <c r="G23" s="66"/>
      <c r="H23" s="67"/>
      <c r="I23" s="68"/>
      <c r="J23" s="69"/>
      <c r="K23" s="70"/>
      <c r="L23" s="71"/>
      <c r="M23" s="72"/>
      <c r="N23" s="73"/>
      <c r="O23" s="74"/>
      <c r="P23" s="75"/>
      <c r="Q23" s="76"/>
      <c r="R23" s="77"/>
      <c r="S23" s="78"/>
      <c r="T23" s="84">
        <f t="shared" ref="T23:T24" si="10">SUM(G23:S23)</f>
        <v>0</v>
      </c>
      <c r="U23" s="84">
        <f t="shared" si="9"/>
        <v>0</v>
      </c>
      <c r="V23" s="84"/>
      <c r="W23" s="85">
        <f t="shared" si="8"/>
        <v>0</v>
      </c>
      <c r="Y23" s="62"/>
    </row>
    <row r="24" ht="99.75" customHeight="1">
      <c r="B24" s="87" t="s">
        <v>61</v>
      </c>
      <c r="C24" s="88"/>
      <c r="D24" s="89">
        <v>6.0</v>
      </c>
      <c r="E24" s="89" t="s">
        <v>62</v>
      </c>
      <c r="F24" s="46">
        <v>104.0</v>
      </c>
      <c r="G24" s="90"/>
      <c r="H24" s="91"/>
      <c r="I24" s="92"/>
      <c r="J24" s="93"/>
      <c r="K24" s="94"/>
      <c r="L24" s="95"/>
      <c r="M24" s="96"/>
      <c r="N24" s="97"/>
      <c r="O24" s="98"/>
      <c r="P24" s="99"/>
      <c r="Q24" s="100"/>
      <c r="R24" s="101"/>
      <c r="S24" s="102"/>
      <c r="T24" s="103">
        <f t="shared" si="10"/>
        <v>0</v>
      </c>
      <c r="U24" s="103">
        <f t="shared" si="9"/>
        <v>0</v>
      </c>
      <c r="V24" s="103"/>
      <c r="W24" s="104">
        <f t="shared" si="8"/>
        <v>0</v>
      </c>
      <c r="Y24" s="62"/>
    </row>
    <row r="25" ht="15.75" customHeight="1">
      <c r="B25" s="4"/>
      <c r="C25" s="4"/>
      <c r="D25" s="4"/>
      <c r="E25" s="4"/>
      <c r="F25" s="5"/>
      <c r="G25" s="105">
        <f t="shared" ref="G25:W25" si="11">SUM(G5:G24)</f>
        <v>0</v>
      </c>
      <c r="H25" s="105">
        <f t="shared" si="11"/>
        <v>0</v>
      </c>
      <c r="I25" s="105">
        <f t="shared" si="11"/>
        <v>0</v>
      </c>
      <c r="J25" s="105">
        <f t="shared" si="11"/>
        <v>0</v>
      </c>
      <c r="K25" s="105">
        <f t="shared" si="11"/>
        <v>0</v>
      </c>
      <c r="L25" s="105">
        <f t="shared" si="11"/>
        <v>0</v>
      </c>
      <c r="M25" s="105">
        <f t="shared" si="11"/>
        <v>0</v>
      </c>
      <c r="N25" s="105">
        <f t="shared" si="11"/>
        <v>0</v>
      </c>
      <c r="O25" s="105">
        <f t="shared" si="11"/>
        <v>0</v>
      </c>
      <c r="P25" s="105">
        <f t="shared" si="11"/>
        <v>0</v>
      </c>
      <c r="Q25" s="105">
        <f t="shared" si="11"/>
        <v>0</v>
      </c>
      <c r="R25" s="105">
        <f t="shared" si="11"/>
        <v>0</v>
      </c>
      <c r="S25" s="105">
        <f t="shared" si="11"/>
        <v>0</v>
      </c>
      <c r="T25" s="105">
        <f t="shared" si="11"/>
        <v>0</v>
      </c>
      <c r="U25" s="105">
        <f t="shared" si="11"/>
        <v>0</v>
      </c>
      <c r="V25" s="105">
        <f t="shared" si="11"/>
        <v>0</v>
      </c>
      <c r="W25" s="106">
        <f t="shared" si="11"/>
        <v>0</v>
      </c>
      <c r="Y25" s="62"/>
    </row>
    <row r="26" ht="15.75" customHeight="1">
      <c r="F26" s="1"/>
      <c r="W26" s="107"/>
      <c r="Y26" s="62"/>
    </row>
    <row r="27" ht="15.75" customHeight="1">
      <c r="F27" s="1"/>
      <c r="W27" s="107"/>
      <c r="Y27" s="62"/>
    </row>
    <row r="28" ht="24.0" customHeight="1">
      <c r="B28" s="108" t="s">
        <v>63</v>
      </c>
      <c r="C28" s="3"/>
      <c r="D28" s="3"/>
      <c r="E28" s="3"/>
      <c r="F28" s="3"/>
      <c r="G28" s="4"/>
      <c r="H28" s="4"/>
      <c r="I28" s="4"/>
      <c r="J28" s="109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110"/>
      <c r="Y28" s="62"/>
    </row>
    <row r="29" ht="15.75" customHeight="1">
      <c r="B29" s="4"/>
      <c r="C29" s="4"/>
      <c r="D29" s="4"/>
      <c r="E29" s="4"/>
      <c r="F29" s="5"/>
      <c r="G29" s="4"/>
      <c r="H29" s="4"/>
      <c r="I29" s="4"/>
      <c r="J29" s="109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110"/>
      <c r="Y29" s="62"/>
    </row>
    <row r="30" ht="99.75" customHeight="1">
      <c r="B30" s="43" t="s">
        <v>64</v>
      </c>
      <c r="C30" s="111"/>
      <c r="D30" s="45">
        <v>6.0</v>
      </c>
      <c r="E30" s="45" t="s">
        <v>65</v>
      </c>
      <c r="F30" s="112">
        <v>40.0</v>
      </c>
      <c r="G30" s="47"/>
      <c r="H30" s="48"/>
      <c r="I30" s="49"/>
      <c r="J30" s="50"/>
      <c r="K30" s="51"/>
      <c r="L30" s="52"/>
      <c r="M30" s="53"/>
      <c r="N30" s="54"/>
      <c r="O30" s="55"/>
      <c r="P30" s="56"/>
      <c r="Q30" s="57"/>
      <c r="R30" s="58"/>
      <c r="S30" s="113"/>
      <c r="T30" s="60">
        <f t="shared" ref="T30:T39" si="12">G30+H30+I30+J30+K30+L30+M30+N30+O30+P30+Q30+R30+S30</f>
        <v>0</v>
      </c>
      <c r="U30" s="60">
        <f t="shared" ref="U30:U39" si="13">T30*D30</f>
        <v>0</v>
      </c>
      <c r="V30" s="60">
        <f>T30*0.55</f>
        <v>0</v>
      </c>
      <c r="W30" s="61">
        <f t="shared" ref="W30:W39" si="14">T30*F30</f>
        <v>0</v>
      </c>
      <c r="Y30" s="62"/>
    </row>
    <row r="31" ht="99.75" customHeight="1">
      <c r="B31" s="81" t="s">
        <v>66</v>
      </c>
      <c r="C31" s="114"/>
      <c r="D31" s="83">
        <v>6.0</v>
      </c>
      <c r="E31" s="83" t="s">
        <v>67</v>
      </c>
      <c r="F31" s="112">
        <v>32.0</v>
      </c>
      <c r="G31" s="66"/>
      <c r="H31" s="67"/>
      <c r="I31" s="68"/>
      <c r="J31" s="69"/>
      <c r="K31" s="70"/>
      <c r="L31" s="71"/>
      <c r="M31" s="72"/>
      <c r="N31" s="73"/>
      <c r="O31" s="74"/>
      <c r="P31" s="75"/>
      <c r="Q31" s="76"/>
      <c r="R31" s="77"/>
      <c r="S31" s="115"/>
      <c r="T31" s="84">
        <f t="shared" si="12"/>
        <v>0</v>
      </c>
      <c r="U31" s="84">
        <f t="shared" si="13"/>
        <v>0</v>
      </c>
      <c r="V31" s="84">
        <f>T31*0.4</f>
        <v>0</v>
      </c>
      <c r="W31" s="85">
        <f t="shared" si="14"/>
        <v>0</v>
      </c>
      <c r="Y31" s="62"/>
    </row>
    <row r="32" ht="99.75" customHeight="1">
      <c r="B32" s="81" t="s">
        <v>68</v>
      </c>
      <c r="C32" s="114"/>
      <c r="D32" s="83">
        <v>6.0</v>
      </c>
      <c r="E32" s="83" t="s">
        <v>69</v>
      </c>
      <c r="F32" s="112">
        <v>69.0</v>
      </c>
      <c r="G32" s="66"/>
      <c r="H32" s="67"/>
      <c r="I32" s="68"/>
      <c r="J32" s="69"/>
      <c r="K32" s="70"/>
      <c r="L32" s="71"/>
      <c r="M32" s="72"/>
      <c r="N32" s="73"/>
      <c r="O32" s="74"/>
      <c r="P32" s="75"/>
      <c r="Q32" s="76"/>
      <c r="R32" s="77"/>
      <c r="S32" s="115"/>
      <c r="T32" s="84">
        <f t="shared" si="12"/>
        <v>0</v>
      </c>
      <c r="U32" s="84">
        <f t="shared" si="13"/>
        <v>0</v>
      </c>
      <c r="V32" s="84">
        <f>T32*1.2</f>
        <v>0</v>
      </c>
      <c r="W32" s="85">
        <f t="shared" si="14"/>
        <v>0</v>
      </c>
      <c r="Y32" s="62"/>
    </row>
    <row r="33" ht="99.75" customHeight="1">
      <c r="B33" s="81" t="s">
        <v>70</v>
      </c>
      <c r="C33" s="114"/>
      <c r="D33" s="83">
        <v>6.0</v>
      </c>
      <c r="E33" s="83" t="s">
        <v>71</v>
      </c>
      <c r="F33" s="112">
        <v>49.0</v>
      </c>
      <c r="G33" s="66"/>
      <c r="H33" s="67"/>
      <c r="I33" s="68"/>
      <c r="J33" s="69"/>
      <c r="K33" s="70"/>
      <c r="L33" s="71"/>
      <c r="M33" s="72"/>
      <c r="N33" s="73"/>
      <c r="O33" s="74"/>
      <c r="P33" s="75"/>
      <c r="Q33" s="76"/>
      <c r="R33" s="77"/>
      <c r="S33" s="115"/>
      <c r="T33" s="84">
        <f t="shared" si="12"/>
        <v>0</v>
      </c>
      <c r="U33" s="84">
        <f t="shared" si="13"/>
        <v>0</v>
      </c>
      <c r="V33" s="84">
        <f>T33*0.77</f>
        <v>0</v>
      </c>
      <c r="W33" s="85">
        <f t="shared" si="14"/>
        <v>0</v>
      </c>
      <c r="Y33" s="62"/>
    </row>
    <row r="34" ht="99.75" customHeight="1">
      <c r="B34" s="81" t="s">
        <v>72</v>
      </c>
      <c r="C34" s="114"/>
      <c r="D34" s="83">
        <v>6.0</v>
      </c>
      <c r="E34" s="83" t="s">
        <v>73</v>
      </c>
      <c r="F34" s="112">
        <v>116.0</v>
      </c>
      <c r="G34" s="66"/>
      <c r="H34" s="67"/>
      <c r="I34" s="68"/>
      <c r="J34" s="69"/>
      <c r="K34" s="70"/>
      <c r="L34" s="71"/>
      <c r="M34" s="72"/>
      <c r="N34" s="73"/>
      <c r="O34" s="74"/>
      <c r="P34" s="75"/>
      <c r="Q34" s="76"/>
      <c r="R34" s="77"/>
      <c r="S34" s="115"/>
      <c r="T34" s="84">
        <f t="shared" si="12"/>
        <v>0</v>
      </c>
      <c r="U34" s="84">
        <f t="shared" si="13"/>
        <v>0</v>
      </c>
      <c r="V34" s="84">
        <f>T34*2.27</f>
        <v>0</v>
      </c>
      <c r="W34" s="85">
        <f t="shared" si="14"/>
        <v>0</v>
      </c>
      <c r="Y34" s="62"/>
    </row>
    <row r="35" ht="99.75" customHeight="1">
      <c r="B35" s="81" t="s">
        <v>74</v>
      </c>
      <c r="C35" s="114"/>
      <c r="D35" s="83">
        <v>6.0</v>
      </c>
      <c r="E35" s="83" t="s">
        <v>75</v>
      </c>
      <c r="F35" s="112">
        <v>61.0</v>
      </c>
      <c r="G35" s="66"/>
      <c r="H35" s="67"/>
      <c r="I35" s="68"/>
      <c r="J35" s="69"/>
      <c r="K35" s="70"/>
      <c r="L35" s="71"/>
      <c r="M35" s="72"/>
      <c r="N35" s="73"/>
      <c r="O35" s="74"/>
      <c r="P35" s="75"/>
      <c r="Q35" s="76"/>
      <c r="R35" s="77"/>
      <c r="S35" s="115"/>
      <c r="T35" s="84">
        <f t="shared" si="12"/>
        <v>0</v>
      </c>
      <c r="U35" s="84">
        <f t="shared" si="13"/>
        <v>0</v>
      </c>
      <c r="V35" s="84">
        <f>T35*1.04</f>
        <v>0</v>
      </c>
      <c r="W35" s="85">
        <f t="shared" si="14"/>
        <v>0</v>
      </c>
      <c r="Y35" s="62"/>
    </row>
    <row r="36" ht="99.75" customHeight="1">
      <c r="B36" s="81" t="s">
        <v>76</v>
      </c>
      <c r="C36" s="114"/>
      <c r="D36" s="83">
        <v>6.0</v>
      </c>
      <c r="E36" s="83" t="s">
        <v>77</v>
      </c>
      <c r="F36" s="112">
        <v>97.0</v>
      </c>
      <c r="G36" s="66"/>
      <c r="H36" s="67"/>
      <c r="I36" s="68"/>
      <c r="J36" s="69"/>
      <c r="K36" s="70"/>
      <c r="L36" s="71"/>
      <c r="M36" s="72"/>
      <c r="N36" s="73"/>
      <c r="O36" s="74"/>
      <c r="P36" s="75"/>
      <c r="Q36" s="76"/>
      <c r="R36" s="77"/>
      <c r="S36" s="115"/>
      <c r="T36" s="84">
        <f t="shared" si="12"/>
        <v>0</v>
      </c>
      <c r="U36" s="84">
        <f t="shared" si="13"/>
        <v>0</v>
      </c>
      <c r="V36" s="84">
        <f>T36*1.84</f>
        <v>0</v>
      </c>
      <c r="W36" s="85">
        <f t="shared" si="14"/>
        <v>0</v>
      </c>
      <c r="Y36" s="62"/>
    </row>
    <row r="37" ht="99.75" customHeight="1">
      <c r="B37" s="116" t="s">
        <v>78</v>
      </c>
      <c r="C37" s="117"/>
      <c r="D37" s="65">
        <v>6.0</v>
      </c>
      <c r="E37" s="65" t="s">
        <v>79</v>
      </c>
      <c r="F37" s="112">
        <v>181.0</v>
      </c>
      <c r="G37" s="66"/>
      <c r="H37" s="67"/>
      <c r="I37" s="68"/>
      <c r="J37" s="69"/>
      <c r="K37" s="70"/>
      <c r="L37" s="71"/>
      <c r="M37" s="72"/>
      <c r="N37" s="73"/>
      <c r="O37" s="74"/>
      <c r="P37" s="75"/>
      <c r="Q37" s="76"/>
      <c r="R37" s="77"/>
      <c r="S37" s="115"/>
      <c r="T37" s="79">
        <f t="shared" si="12"/>
        <v>0</v>
      </c>
      <c r="U37" s="79">
        <f t="shared" si="13"/>
        <v>0</v>
      </c>
      <c r="V37" s="79"/>
      <c r="W37" s="80">
        <f t="shared" si="14"/>
        <v>0</v>
      </c>
      <c r="Y37" s="62"/>
    </row>
    <row r="38" ht="99.75" customHeight="1">
      <c r="B38" s="116" t="s">
        <v>80</v>
      </c>
      <c r="C38" s="117"/>
      <c r="D38" s="65">
        <v>6.0</v>
      </c>
      <c r="E38" s="65" t="s">
        <v>81</v>
      </c>
      <c r="F38" s="112">
        <v>218.0</v>
      </c>
      <c r="G38" s="66"/>
      <c r="H38" s="67"/>
      <c r="I38" s="68"/>
      <c r="J38" s="69"/>
      <c r="K38" s="70"/>
      <c r="L38" s="71"/>
      <c r="M38" s="72"/>
      <c r="N38" s="73"/>
      <c r="O38" s="74"/>
      <c r="P38" s="75"/>
      <c r="Q38" s="76"/>
      <c r="R38" s="77"/>
      <c r="S38" s="115"/>
      <c r="T38" s="79">
        <f t="shared" si="12"/>
        <v>0</v>
      </c>
      <c r="U38" s="79">
        <f t="shared" si="13"/>
        <v>0</v>
      </c>
      <c r="V38" s="79"/>
      <c r="W38" s="80">
        <f t="shared" si="14"/>
        <v>0</v>
      </c>
      <c r="Y38" s="62"/>
    </row>
    <row r="39" ht="99.75" customHeight="1">
      <c r="B39" s="118" t="s">
        <v>82</v>
      </c>
      <c r="C39" s="119"/>
      <c r="D39" s="120">
        <v>6.0</v>
      </c>
      <c r="E39" s="120" t="s">
        <v>83</v>
      </c>
      <c r="F39" s="112">
        <v>256.0</v>
      </c>
      <c r="G39" s="121"/>
      <c r="H39" s="122"/>
      <c r="I39" s="123"/>
      <c r="J39" s="124"/>
      <c r="K39" s="125"/>
      <c r="L39" s="126"/>
      <c r="M39" s="127"/>
      <c r="N39" s="128"/>
      <c r="O39" s="129"/>
      <c r="P39" s="130"/>
      <c r="Q39" s="131"/>
      <c r="R39" s="132"/>
      <c r="S39" s="133"/>
      <c r="T39" s="134">
        <f t="shared" si="12"/>
        <v>0</v>
      </c>
      <c r="U39" s="134">
        <f t="shared" si="13"/>
        <v>0</v>
      </c>
      <c r="V39" s="134">
        <f>T39*3.62</f>
        <v>0</v>
      </c>
      <c r="W39" s="135">
        <f t="shared" si="14"/>
        <v>0</v>
      </c>
      <c r="Y39" s="62"/>
    </row>
    <row r="40" ht="15.75" customHeight="1">
      <c r="B40" s="4"/>
      <c r="C40" s="4"/>
      <c r="D40" s="4"/>
      <c r="E40" s="4"/>
      <c r="F40" s="5"/>
      <c r="G40" s="136">
        <f t="shared" ref="G40:W40" si="15">SUM(G30:G39)</f>
        <v>0</v>
      </c>
      <c r="H40" s="136">
        <f t="shared" si="15"/>
        <v>0</v>
      </c>
      <c r="I40" s="136">
        <f t="shared" si="15"/>
        <v>0</v>
      </c>
      <c r="J40" s="136">
        <f t="shared" si="15"/>
        <v>0</v>
      </c>
      <c r="K40" s="136">
        <f t="shared" si="15"/>
        <v>0</v>
      </c>
      <c r="L40" s="136">
        <f t="shared" si="15"/>
        <v>0</v>
      </c>
      <c r="M40" s="136">
        <f t="shared" si="15"/>
        <v>0</v>
      </c>
      <c r="N40" s="136">
        <f t="shared" si="15"/>
        <v>0</v>
      </c>
      <c r="O40" s="136">
        <f t="shared" si="15"/>
        <v>0</v>
      </c>
      <c r="P40" s="136">
        <f t="shared" si="15"/>
        <v>0</v>
      </c>
      <c r="Q40" s="136">
        <f t="shared" si="15"/>
        <v>0</v>
      </c>
      <c r="R40" s="136">
        <f t="shared" si="15"/>
        <v>0</v>
      </c>
      <c r="S40" s="136">
        <f t="shared" si="15"/>
        <v>0</v>
      </c>
      <c r="T40" s="136">
        <f t="shared" si="15"/>
        <v>0</v>
      </c>
      <c r="U40" s="136">
        <f t="shared" si="15"/>
        <v>0</v>
      </c>
      <c r="V40" s="136">
        <f t="shared" si="15"/>
        <v>0</v>
      </c>
      <c r="W40" s="137">
        <f t="shared" si="15"/>
        <v>0</v>
      </c>
      <c r="Y40" s="19"/>
    </row>
    <row r="41" ht="15.75" customHeight="1">
      <c r="F41" s="1"/>
    </row>
    <row r="42" ht="15.75" customHeight="1">
      <c r="F42" s="1"/>
    </row>
    <row r="43" ht="15.75" customHeight="1">
      <c r="F43" s="1"/>
    </row>
    <row r="44" ht="15.75" customHeight="1">
      <c r="F44" s="1"/>
    </row>
    <row r="45" ht="15.75" customHeight="1">
      <c r="F45" s="1"/>
    </row>
    <row r="46" ht="15.75" customHeight="1">
      <c r="F46" s="1"/>
    </row>
    <row r="47" ht="15.75" customHeight="1">
      <c r="F47" s="1"/>
    </row>
    <row r="48" ht="15.75" customHeight="1">
      <c r="F48" s="1"/>
    </row>
    <row r="49" ht="15.75" customHeight="1">
      <c r="F49" s="1"/>
    </row>
    <row r="50" ht="15.75" customHeight="1">
      <c r="F50" s="1"/>
    </row>
    <row r="51" ht="15.75" customHeight="1">
      <c r="F51" s="1"/>
    </row>
    <row r="52" ht="15.75" customHeight="1">
      <c r="F52" s="1"/>
    </row>
    <row r="53" ht="15.75" customHeight="1">
      <c r="F53" s="1"/>
    </row>
    <row r="54" ht="15.75" customHeight="1">
      <c r="F54" s="1"/>
    </row>
    <row r="55" ht="15.75" customHeight="1">
      <c r="F55" s="1"/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>
      <c r="F100" s="1"/>
    </row>
    <row r="101" ht="15.75" customHeight="1">
      <c r="F101" s="1"/>
    </row>
    <row r="102" ht="15.75" customHeight="1">
      <c r="F102" s="1"/>
    </row>
    <row r="103" ht="15.75" customHeight="1">
      <c r="F103" s="1"/>
    </row>
    <row r="104" ht="15.75" customHeight="1">
      <c r="F104" s="1"/>
    </row>
    <row r="105" ht="15.75" customHeight="1">
      <c r="F105" s="1"/>
    </row>
    <row r="106" ht="15.75" customHeight="1">
      <c r="F106" s="1"/>
    </row>
    <row r="107" ht="15.75" customHeight="1">
      <c r="F107" s="1"/>
    </row>
    <row r="108" ht="15.75" customHeight="1">
      <c r="F108" s="1"/>
    </row>
    <row r="109" ht="15.75" customHeight="1">
      <c r="F109" s="1"/>
    </row>
    <row r="110" ht="15.75" customHeight="1">
      <c r="F110" s="1"/>
    </row>
    <row r="111" ht="15.75" customHeight="1">
      <c r="F111" s="1"/>
    </row>
    <row r="112" ht="15.75" customHeight="1">
      <c r="F112" s="1"/>
    </row>
    <row r="113" ht="15.75" customHeight="1">
      <c r="F113" s="1"/>
    </row>
    <row r="114" ht="15.75" customHeight="1">
      <c r="F114" s="1"/>
    </row>
    <row r="115" ht="15.75" customHeight="1">
      <c r="F115" s="1"/>
    </row>
    <row r="116" ht="15.75" customHeight="1">
      <c r="F116" s="1"/>
    </row>
    <row r="117" ht="15.75" customHeight="1">
      <c r="F117" s="1"/>
    </row>
    <row r="118" ht="15.75" customHeight="1">
      <c r="F118" s="1"/>
    </row>
    <row r="119" ht="15.75" customHeight="1">
      <c r="F119" s="1"/>
    </row>
    <row r="120" ht="15.75" customHeight="1">
      <c r="F120" s="1"/>
    </row>
    <row r="121" ht="15.75" customHeight="1">
      <c r="F121" s="1"/>
    </row>
    <row r="122" ht="15.75" customHeight="1">
      <c r="F122" s="1"/>
    </row>
    <row r="123" ht="15.75" customHeight="1">
      <c r="F123" s="1"/>
    </row>
    <row r="124" ht="15.75" customHeight="1">
      <c r="F124" s="1"/>
    </row>
    <row r="125" ht="15.75" customHeight="1">
      <c r="F125" s="1"/>
    </row>
    <row r="126" ht="15.75" customHeight="1">
      <c r="F126" s="1"/>
    </row>
    <row r="127" ht="15.75" customHeight="1">
      <c r="F127" s="1"/>
    </row>
    <row r="128" ht="15.75" customHeight="1">
      <c r="F128" s="1"/>
    </row>
    <row r="129" ht="15.75" customHeight="1">
      <c r="F129" s="1"/>
    </row>
    <row r="130" ht="15.75" customHeight="1">
      <c r="F130" s="1"/>
    </row>
    <row r="131" ht="15.75" customHeight="1">
      <c r="F131" s="1"/>
    </row>
    <row r="132" ht="15.75" customHeight="1">
      <c r="F132" s="1"/>
    </row>
    <row r="133" ht="15.75" customHeight="1">
      <c r="F133" s="1"/>
    </row>
    <row r="134" ht="15.75" customHeight="1">
      <c r="F134" s="1"/>
    </row>
    <row r="135" ht="15.75" customHeight="1">
      <c r="F135" s="1"/>
    </row>
    <row r="136" ht="15.75" customHeight="1">
      <c r="F136" s="1"/>
    </row>
    <row r="137" ht="15.75" customHeight="1">
      <c r="F137" s="1"/>
    </row>
    <row r="138" ht="15.75" customHeight="1">
      <c r="F138" s="1"/>
    </row>
    <row r="139" ht="15.75" customHeight="1">
      <c r="F139" s="1"/>
    </row>
    <row r="140" ht="15.75" customHeight="1">
      <c r="F140" s="1"/>
    </row>
    <row r="141" ht="15.75" customHeight="1">
      <c r="F141" s="1"/>
    </row>
    <row r="142" ht="15.75" customHeight="1">
      <c r="F142" s="1"/>
    </row>
    <row r="143" ht="15.75" customHeight="1">
      <c r="F143" s="1"/>
    </row>
    <row r="144" ht="15.75" customHeight="1">
      <c r="F144" s="1"/>
    </row>
    <row r="145" ht="15.75" customHeight="1">
      <c r="F145" s="1"/>
    </row>
    <row r="146" ht="15.75" customHeight="1">
      <c r="F146" s="1"/>
    </row>
    <row r="147" ht="15.75" customHeight="1">
      <c r="F147" s="1"/>
    </row>
    <row r="148" ht="15.75" customHeight="1">
      <c r="F148" s="1"/>
    </row>
    <row r="149" ht="15.75" customHeight="1">
      <c r="F149" s="1"/>
    </row>
    <row r="150" ht="15.75" customHeight="1">
      <c r="F150" s="1"/>
    </row>
    <row r="151" ht="15.75" customHeight="1">
      <c r="F151" s="1"/>
    </row>
    <row r="152" ht="15.75" customHeight="1">
      <c r="F152" s="1"/>
    </row>
    <row r="153" ht="15.75" customHeight="1">
      <c r="F153" s="1"/>
    </row>
    <row r="154" ht="15.75" customHeight="1">
      <c r="F154" s="1"/>
    </row>
    <row r="155" ht="15.75" customHeight="1">
      <c r="F155" s="1"/>
    </row>
    <row r="156" ht="15.75" customHeight="1">
      <c r="F156" s="1"/>
    </row>
    <row r="157" ht="15.75" customHeight="1">
      <c r="F157" s="1"/>
    </row>
    <row r="158" ht="15.75" customHeight="1">
      <c r="F158" s="1"/>
    </row>
    <row r="159" ht="15.75" customHeight="1">
      <c r="F159" s="1"/>
    </row>
    <row r="160" ht="15.75" customHeight="1">
      <c r="F160" s="1"/>
    </row>
    <row r="161" ht="15.75" customHeight="1">
      <c r="F161" s="1"/>
    </row>
    <row r="162" ht="15.75" customHeight="1">
      <c r="F162" s="1"/>
    </row>
    <row r="163" ht="15.75" customHeight="1">
      <c r="F163" s="1"/>
    </row>
    <row r="164" ht="15.75" customHeight="1">
      <c r="F164" s="1"/>
    </row>
    <row r="165" ht="15.75" customHeight="1">
      <c r="F165" s="1"/>
    </row>
    <row r="166" ht="15.75" customHeight="1">
      <c r="F166" s="1"/>
    </row>
    <row r="167" ht="15.75" customHeight="1">
      <c r="F167" s="1"/>
    </row>
    <row r="168" ht="15.75" customHeight="1">
      <c r="F168" s="1"/>
    </row>
    <row r="169" ht="15.75" customHeight="1">
      <c r="F169" s="1"/>
    </row>
    <row r="170" ht="15.75" customHeight="1">
      <c r="F170" s="1"/>
    </row>
    <row r="171" ht="15.75" customHeight="1">
      <c r="F171" s="1"/>
    </row>
    <row r="172" ht="15.75" customHeight="1">
      <c r="F172" s="1"/>
    </row>
    <row r="173" ht="15.75" customHeight="1">
      <c r="F173" s="1"/>
    </row>
    <row r="174" ht="15.75" customHeight="1">
      <c r="F174" s="1"/>
    </row>
    <row r="175" ht="15.75" customHeight="1">
      <c r="F175" s="1"/>
    </row>
    <row r="176" ht="15.75" customHeight="1">
      <c r="F176" s="1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1"/>
    </row>
    <row r="182" ht="15.75" customHeight="1">
      <c r="F182" s="1"/>
    </row>
    <row r="183" ht="15.75" customHeight="1">
      <c r="F183" s="1"/>
    </row>
    <row r="184" ht="15.75" customHeight="1">
      <c r="F184" s="1"/>
    </row>
    <row r="185" ht="15.75" customHeight="1">
      <c r="F185" s="1"/>
    </row>
    <row r="186" ht="15.75" customHeight="1">
      <c r="F186" s="1"/>
    </row>
    <row r="187" ht="15.75" customHeight="1">
      <c r="F187" s="1"/>
    </row>
    <row r="188" ht="15.75" customHeight="1">
      <c r="F188" s="1"/>
    </row>
    <row r="189" ht="15.75" customHeight="1">
      <c r="F189" s="1"/>
    </row>
    <row r="190" ht="15.75" customHeight="1">
      <c r="F190" s="1"/>
    </row>
    <row r="191" ht="15.75" customHeight="1">
      <c r="F191" s="1"/>
    </row>
    <row r="192" ht="15.75" customHeight="1">
      <c r="F192" s="1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>
      <c r="F202" s="1"/>
    </row>
    <row r="203" ht="15.75" customHeight="1">
      <c r="F203" s="1"/>
    </row>
    <row r="204" ht="15.75" customHeight="1">
      <c r="F204" s="1"/>
    </row>
    <row r="205" ht="15.75" customHeight="1">
      <c r="F205" s="1"/>
    </row>
    <row r="206" ht="15.75" customHeight="1">
      <c r="F206" s="1"/>
    </row>
    <row r="207" ht="15.75" customHeight="1">
      <c r="F207" s="1"/>
    </row>
    <row r="208" ht="15.75" customHeight="1">
      <c r="F208" s="1"/>
    </row>
    <row r="209" ht="15.75" customHeight="1">
      <c r="F209" s="1"/>
    </row>
    <row r="210" ht="15.75" customHeight="1">
      <c r="F210" s="1"/>
    </row>
    <row r="211" ht="15.75" customHeight="1">
      <c r="F211" s="1"/>
    </row>
    <row r="212" ht="15.75" customHeight="1">
      <c r="F212" s="1"/>
    </row>
    <row r="213" ht="15.75" customHeight="1">
      <c r="F213" s="1"/>
    </row>
    <row r="214" ht="15.75" customHeight="1">
      <c r="F214" s="1"/>
    </row>
    <row r="215" ht="15.75" customHeight="1">
      <c r="F215" s="1"/>
    </row>
    <row r="216" ht="15.75" customHeight="1">
      <c r="F216" s="1"/>
    </row>
    <row r="217" ht="15.75" customHeight="1">
      <c r="F217" s="1"/>
    </row>
    <row r="218" ht="15.75" customHeight="1">
      <c r="F218" s="1"/>
    </row>
    <row r="219" ht="15.75" customHeight="1">
      <c r="F219" s="1"/>
    </row>
    <row r="220" ht="15.75" customHeight="1">
      <c r="F220" s="1"/>
    </row>
    <row r="221" ht="15.75" customHeight="1">
      <c r="F221" s="1"/>
    </row>
    <row r="222" ht="15.75" customHeight="1">
      <c r="F222" s="1"/>
    </row>
    <row r="223" ht="15.75" customHeight="1">
      <c r="F223" s="1"/>
    </row>
    <row r="224" ht="15.75" customHeight="1">
      <c r="F224" s="1"/>
    </row>
    <row r="225" ht="15.75" customHeight="1">
      <c r="F225" s="1"/>
    </row>
    <row r="226" ht="15.75" customHeight="1">
      <c r="F226" s="1"/>
    </row>
    <row r="227" ht="15.75" customHeight="1">
      <c r="F227" s="1"/>
    </row>
    <row r="228" ht="15.75" customHeight="1">
      <c r="F228" s="1"/>
    </row>
    <row r="229" ht="15.75" customHeight="1">
      <c r="F229" s="1"/>
    </row>
    <row r="230" ht="15.75" customHeight="1">
      <c r="F230" s="1"/>
    </row>
    <row r="231" ht="15.75" customHeight="1">
      <c r="F231" s="1"/>
    </row>
    <row r="232" ht="15.75" customHeight="1">
      <c r="F232" s="1"/>
    </row>
    <row r="233" ht="15.75" customHeight="1">
      <c r="F233" s="1"/>
    </row>
    <row r="234" ht="15.75" customHeight="1">
      <c r="F234" s="1"/>
    </row>
    <row r="235" ht="15.75" customHeight="1">
      <c r="F235" s="1"/>
    </row>
    <row r="236" ht="15.75" customHeight="1">
      <c r="F236" s="1"/>
    </row>
    <row r="237" ht="15.75" customHeight="1">
      <c r="F237" s="1"/>
    </row>
    <row r="238" ht="15.75" customHeight="1">
      <c r="F238" s="1"/>
    </row>
    <row r="239" ht="15.75" customHeight="1">
      <c r="F239" s="1"/>
    </row>
    <row r="240" ht="15.75" customHeight="1">
      <c r="F240" s="1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B2:D2"/>
    <mergeCell ref="B28:F28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5"/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4.57"/>
    <col customWidth="1" min="3" max="3" width="16.43"/>
    <col customWidth="1" min="4" max="4" width="9.14"/>
    <col customWidth="1" min="5" max="5" width="10.14"/>
    <col customWidth="1" min="6" max="6" width="11.43"/>
    <col customWidth="1" min="7" max="7" width="12.86"/>
    <col customWidth="1" min="8" max="18" width="9.14"/>
    <col customWidth="1" min="19" max="19" width="9.0"/>
    <col customWidth="1" min="20" max="20" width="9.14"/>
    <col customWidth="1" min="21" max="21" width="12.0"/>
  </cols>
  <sheetData>
    <row r="1">
      <c r="G1" s="440"/>
    </row>
    <row r="2">
      <c r="G2" s="441" t="s">
        <v>503</v>
      </c>
      <c r="P2" s="442"/>
    </row>
    <row r="3">
      <c r="P3" s="442"/>
    </row>
    <row r="4">
      <c r="G4" s="440"/>
      <c r="L4" s="443" t="s">
        <v>504</v>
      </c>
      <c r="M4" s="443" t="s">
        <v>504</v>
      </c>
      <c r="N4" s="443" t="s">
        <v>504</v>
      </c>
    </row>
    <row r="5">
      <c r="B5" s="20" t="s">
        <v>14</v>
      </c>
      <c r="C5" s="21" t="s">
        <v>15</v>
      </c>
      <c r="D5" s="22" t="s">
        <v>16</v>
      </c>
      <c r="E5" s="22" t="s">
        <v>408</v>
      </c>
      <c r="F5" s="22" t="s">
        <v>17</v>
      </c>
      <c r="G5" s="23" t="s">
        <v>18</v>
      </c>
      <c r="H5" s="342">
        <v>1018.0</v>
      </c>
      <c r="I5" s="343">
        <v>3020.0</v>
      </c>
      <c r="J5" s="344">
        <v>5015.0</v>
      </c>
      <c r="K5" s="345">
        <v>9005.0</v>
      </c>
      <c r="L5" s="346">
        <v>2005.0</v>
      </c>
      <c r="M5" s="347">
        <v>6038.0</v>
      </c>
      <c r="N5" s="348">
        <v>3017.0</v>
      </c>
      <c r="O5" s="349">
        <v>4008.0</v>
      </c>
      <c r="P5" s="350">
        <v>4005.0</v>
      </c>
      <c r="Q5" s="351">
        <v>6001.0</v>
      </c>
      <c r="R5" s="352">
        <v>9003.0</v>
      </c>
      <c r="S5" s="37" t="s">
        <v>409</v>
      </c>
      <c r="T5" s="38" t="s">
        <v>21</v>
      </c>
      <c r="U5" s="39" t="s">
        <v>22</v>
      </c>
    </row>
    <row r="6">
      <c r="B6" s="40"/>
      <c r="C6" s="40"/>
      <c r="D6" s="40"/>
      <c r="E6" s="40"/>
      <c r="F6" s="40"/>
      <c r="G6" s="41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444"/>
      <c r="T6" s="444"/>
      <c r="U6" s="444"/>
    </row>
    <row r="7">
      <c r="B7" s="445" t="s">
        <v>505</v>
      </c>
      <c r="C7" s="446"/>
      <c r="D7" s="447"/>
      <c r="E7" s="448"/>
      <c r="F7" s="449" t="s">
        <v>506</v>
      </c>
      <c r="G7" s="450">
        <v>3000.0</v>
      </c>
      <c r="H7" s="451"/>
      <c r="I7" s="452"/>
      <c r="J7" s="453"/>
      <c r="K7" s="454"/>
      <c r="L7" s="455"/>
      <c r="M7" s="456"/>
      <c r="N7" s="457"/>
      <c r="O7" s="458"/>
      <c r="P7" s="459"/>
      <c r="Q7" s="460"/>
      <c r="R7" s="461"/>
      <c r="S7" s="461">
        <f>SUM(H7:R7)*18</f>
        <v>0</v>
      </c>
      <c r="T7" s="461">
        <f t="shared" ref="T7:T8" si="1">S7*2.444</f>
        <v>0</v>
      </c>
      <c r="U7" s="462">
        <f>SUM(H7:R7)*G7</f>
        <v>0</v>
      </c>
    </row>
    <row r="8" ht="90.0" customHeight="1">
      <c r="B8" s="463" t="s">
        <v>507</v>
      </c>
      <c r="C8" s="464"/>
      <c r="D8" s="465">
        <v>1.0</v>
      </c>
      <c r="E8" s="465" t="s">
        <v>508</v>
      </c>
      <c r="F8" s="45" t="s">
        <v>509</v>
      </c>
      <c r="G8" s="466">
        <v>236.0</v>
      </c>
      <c r="H8" s="467"/>
      <c r="I8" s="468"/>
      <c r="J8" s="469"/>
      <c r="K8" s="470"/>
      <c r="L8" s="471"/>
      <c r="M8" s="472"/>
      <c r="N8" s="473"/>
      <c r="O8" s="474"/>
      <c r="P8" s="475"/>
      <c r="Q8" s="476"/>
      <c r="R8" s="465"/>
      <c r="S8" s="465">
        <f t="shared" ref="S8:S13" si="2">SUM(H8:R8)</f>
        <v>0</v>
      </c>
      <c r="T8" s="465">
        <f t="shared" si="1"/>
        <v>0</v>
      </c>
      <c r="U8" s="477">
        <f t="shared" ref="U8:U13" si="3">S8*G8</f>
        <v>0</v>
      </c>
    </row>
    <row r="9" ht="90.0" customHeight="1">
      <c r="B9" s="463" t="s">
        <v>510</v>
      </c>
      <c r="C9" s="222"/>
      <c r="D9" s="392">
        <v>1.0</v>
      </c>
      <c r="E9" s="392" t="s">
        <v>511</v>
      </c>
      <c r="F9" s="83" t="s">
        <v>512</v>
      </c>
      <c r="G9" s="395">
        <v>236.0</v>
      </c>
      <c r="H9" s="396"/>
      <c r="I9" s="397"/>
      <c r="J9" s="398"/>
      <c r="K9" s="399"/>
      <c r="L9" s="478"/>
      <c r="M9" s="479"/>
      <c r="N9" s="402"/>
      <c r="O9" s="403"/>
      <c r="P9" s="404"/>
      <c r="Q9" s="480"/>
      <c r="R9" s="392"/>
      <c r="S9" s="392">
        <f t="shared" si="2"/>
        <v>0</v>
      </c>
      <c r="T9" s="392">
        <f>S9*2.105</f>
        <v>0</v>
      </c>
      <c r="U9" s="406">
        <f t="shared" si="3"/>
        <v>0</v>
      </c>
    </row>
    <row r="10" ht="90.0" customHeight="1">
      <c r="B10" s="463" t="s">
        <v>513</v>
      </c>
      <c r="C10" s="222"/>
      <c r="D10" s="392">
        <v>1.0</v>
      </c>
      <c r="E10" s="392" t="s">
        <v>514</v>
      </c>
      <c r="F10" s="83" t="s">
        <v>515</v>
      </c>
      <c r="G10" s="395">
        <v>206.0</v>
      </c>
      <c r="H10" s="396"/>
      <c r="I10" s="397"/>
      <c r="J10" s="398"/>
      <c r="K10" s="399"/>
      <c r="L10" s="478"/>
      <c r="M10" s="479"/>
      <c r="N10" s="402"/>
      <c r="O10" s="403"/>
      <c r="P10" s="404"/>
      <c r="Q10" s="480"/>
      <c r="R10" s="392"/>
      <c r="S10" s="392">
        <f t="shared" si="2"/>
        <v>0</v>
      </c>
      <c r="T10" s="392">
        <f>S10*2.208</f>
        <v>0</v>
      </c>
      <c r="U10" s="406">
        <f t="shared" si="3"/>
        <v>0</v>
      </c>
    </row>
    <row r="11" ht="90.0" customHeight="1">
      <c r="B11" s="463" t="s">
        <v>516</v>
      </c>
      <c r="C11" s="222"/>
      <c r="D11" s="392">
        <v>1.0</v>
      </c>
      <c r="E11" s="392" t="s">
        <v>517</v>
      </c>
      <c r="F11" s="83" t="s">
        <v>518</v>
      </c>
      <c r="G11" s="395">
        <v>206.0</v>
      </c>
      <c r="H11" s="396"/>
      <c r="I11" s="397"/>
      <c r="J11" s="398"/>
      <c r="K11" s="399"/>
      <c r="L11" s="478"/>
      <c r="M11" s="479"/>
      <c r="N11" s="402"/>
      <c r="O11" s="403"/>
      <c r="P11" s="404"/>
      <c r="Q11" s="480"/>
      <c r="R11" s="392"/>
      <c r="S11" s="392">
        <f t="shared" si="2"/>
        <v>0</v>
      </c>
      <c r="T11" s="392">
        <f>S11*2.644</f>
        <v>0</v>
      </c>
      <c r="U11" s="406">
        <f t="shared" si="3"/>
        <v>0</v>
      </c>
    </row>
    <row r="12" ht="90.0" customHeight="1">
      <c r="B12" s="481" t="s">
        <v>519</v>
      </c>
      <c r="C12" s="222"/>
      <c r="D12" s="392">
        <v>1.0</v>
      </c>
      <c r="E12" s="392" t="s">
        <v>520</v>
      </c>
      <c r="F12" s="83" t="s">
        <v>521</v>
      </c>
      <c r="G12" s="395">
        <v>185.0</v>
      </c>
      <c r="H12" s="396"/>
      <c r="I12" s="397"/>
      <c r="J12" s="398"/>
      <c r="K12" s="399"/>
      <c r="L12" s="478"/>
      <c r="M12" s="479"/>
      <c r="N12" s="402"/>
      <c r="O12" s="403"/>
      <c r="P12" s="404"/>
      <c r="Q12" s="480"/>
      <c r="R12" s="392"/>
      <c r="S12" s="392">
        <f t="shared" si="2"/>
        <v>0</v>
      </c>
      <c r="T12" s="392">
        <f>S12*2.205</f>
        <v>0</v>
      </c>
      <c r="U12" s="406">
        <f t="shared" si="3"/>
        <v>0</v>
      </c>
    </row>
    <row r="13" ht="90.0" customHeight="1">
      <c r="B13" s="481" t="s">
        <v>522</v>
      </c>
      <c r="C13" s="222"/>
      <c r="D13" s="392">
        <v>1.0</v>
      </c>
      <c r="E13" s="392" t="s">
        <v>523</v>
      </c>
      <c r="F13" s="83" t="s">
        <v>524</v>
      </c>
      <c r="G13" s="395">
        <v>228.0</v>
      </c>
      <c r="H13" s="396"/>
      <c r="I13" s="397"/>
      <c r="J13" s="398"/>
      <c r="K13" s="482"/>
      <c r="L13" s="478"/>
      <c r="M13" s="479"/>
      <c r="N13" s="402"/>
      <c r="O13" s="403"/>
      <c r="P13" s="404"/>
      <c r="Q13" s="480"/>
      <c r="R13" s="392"/>
      <c r="S13" s="392">
        <f t="shared" si="2"/>
        <v>0</v>
      </c>
      <c r="T13" s="392">
        <f>S13*2.557</f>
        <v>0</v>
      </c>
      <c r="U13" s="406">
        <f t="shared" si="3"/>
        <v>0</v>
      </c>
    </row>
    <row r="14" ht="23.25" customHeight="1">
      <c r="B14" s="483"/>
      <c r="C14" s="484"/>
      <c r="D14" s="485"/>
      <c r="E14" s="485"/>
      <c r="F14" s="486"/>
      <c r="G14" s="487">
        <v>0.0</v>
      </c>
      <c r="H14" s="488"/>
      <c r="I14" s="488"/>
      <c r="J14" s="488"/>
      <c r="K14" s="488"/>
      <c r="L14" s="488"/>
      <c r="M14" s="488"/>
      <c r="N14" s="488"/>
      <c r="O14" s="488"/>
      <c r="P14" s="488"/>
      <c r="Q14" s="488"/>
      <c r="R14" s="488"/>
      <c r="S14" s="485"/>
      <c r="T14" s="485"/>
      <c r="U14" s="489"/>
    </row>
    <row r="15">
      <c r="B15" s="490" t="s">
        <v>525</v>
      </c>
      <c r="C15" s="491"/>
      <c r="D15" s="461">
        <f>SUM(D16:D27)</f>
        <v>12</v>
      </c>
      <c r="E15" s="461"/>
      <c r="F15" s="492" t="s">
        <v>526</v>
      </c>
      <c r="G15" s="493">
        <v>1900.0</v>
      </c>
      <c r="H15" s="451"/>
      <c r="I15" s="452"/>
      <c r="J15" s="453"/>
      <c r="K15" s="454"/>
      <c r="L15" s="455"/>
      <c r="M15" s="456"/>
      <c r="N15" s="457"/>
      <c r="O15" s="458"/>
      <c r="P15" s="459"/>
      <c r="Q15" s="460"/>
      <c r="R15" s="461"/>
      <c r="S15" s="461">
        <f>SUM(H15:R15)*18</f>
        <v>0</v>
      </c>
      <c r="T15" s="461">
        <f t="shared" ref="T15:T16" si="4">S15*1.741</f>
        <v>0</v>
      </c>
      <c r="U15" s="462">
        <f>SUM(H15:R15)*G15</f>
        <v>0</v>
      </c>
    </row>
    <row r="16" ht="90.0" customHeight="1">
      <c r="B16" s="425" t="s">
        <v>527</v>
      </c>
      <c r="C16" s="374"/>
      <c r="D16" s="375">
        <v>1.0</v>
      </c>
      <c r="E16" s="375" t="s">
        <v>528</v>
      </c>
      <c r="F16" s="421" t="s">
        <v>529</v>
      </c>
      <c r="G16" s="378">
        <v>174.0</v>
      </c>
      <c r="H16" s="379"/>
      <c r="I16" s="380"/>
      <c r="J16" s="381"/>
      <c r="K16" s="382"/>
      <c r="L16" s="494"/>
      <c r="M16" s="495"/>
      <c r="N16" s="385"/>
      <c r="O16" s="386"/>
      <c r="P16" s="387"/>
      <c r="Q16" s="496"/>
      <c r="R16" s="375"/>
      <c r="S16" s="375">
        <f t="shared" ref="S16:S27" si="5">SUM(H16:R16)</f>
        <v>0</v>
      </c>
      <c r="T16" s="375">
        <f t="shared" si="4"/>
        <v>0</v>
      </c>
      <c r="U16" s="389">
        <f t="shared" ref="U16:U27" si="6">S16*G16</f>
        <v>0</v>
      </c>
    </row>
    <row r="17" ht="90.0" customHeight="1">
      <c r="B17" s="481" t="s">
        <v>530</v>
      </c>
      <c r="C17" s="222"/>
      <c r="D17" s="392">
        <v>1.0</v>
      </c>
      <c r="E17" s="392" t="s">
        <v>531</v>
      </c>
      <c r="F17" s="83" t="s">
        <v>532</v>
      </c>
      <c r="G17" s="395">
        <v>184.0</v>
      </c>
      <c r="H17" s="396"/>
      <c r="I17" s="397"/>
      <c r="J17" s="398"/>
      <c r="K17" s="399"/>
      <c r="L17" s="478"/>
      <c r="M17" s="479"/>
      <c r="N17" s="402"/>
      <c r="O17" s="403"/>
      <c r="P17" s="404"/>
      <c r="Q17" s="480"/>
      <c r="R17" s="392"/>
      <c r="S17" s="392">
        <f t="shared" si="5"/>
        <v>0</v>
      </c>
      <c r="T17" s="392">
        <f>S17*1.609</f>
        <v>0</v>
      </c>
      <c r="U17" s="406">
        <f t="shared" si="6"/>
        <v>0</v>
      </c>
    </row>
    <row r="18" ht="90.0" customHeight="1">
      <c r="B18" s="481" t="s">
        <v>533</v>
      </c>
      <c r="C18" s="222"/>
      <c r="D18" s="392">
        <v>1.0</v>
      </c>
      <c r="E18" s="392" t="s">
        <v>534</v>
      </c>
      <c r="F18" s="83" t="s">
        <v>535</v>
      </c>
      <c r="G18" s="395">
        <v>184.0</v>
      </c>
      <c r="H18" s="396"/>
      <c r="I18" s="397"/>
      <c r="J18" s="398"/>
      <c r="K18" s="399"/>
      <c r="L18" s="478"/>
      <c r="M18" s="479"/>
      <c r="N18" s="402"/>
      <c r="O18" s="403"/>
      <c r="P18" s="404"/>
      <c r="Q18" s="480"/>
      <c r="R18" s="392"/>
      <c r="S18" s="392">
        <f t="shared" si="5"/>
        <v>0</v>
      </c>
      <c r="T18" s="392">
        <f>S18*1.671</f>
        <v>0</v>
      </c>
      <c r="U18" s="406">
        <f t="shared" si="6"/>
        <v>0</v>
      </c>
    </row>
    <row r="19" ht="90.0" customHeight="1">
      <c r="B19" s="481" t="s">
        <v>536</v>
      </c>
      <c r="C19" s="391"/>
      <c r="D19" s="392">
        <v>1.0</v>
      </c>
      <c r="E19" s="392" t="s">
        <v>537</v>
      </c>
      <c r="F19" s="83" t="s">
        <v>538</v>
      </c>
      <c r="G19" s="395">
        <v>186.0</v>
      </c>
      <c r="H19" s="396"/>
      <c r="I19" s="397"/>
      <c r="J19" s="398"/>
      <c r="K19" s="399"/>
      <c r="L19" s="478"/>
      <c r="M19" s="479"/>
      <c r="N19" s="402"/>
      <c r="O19" s="403"/>
      <c r="P19" s="404"/>
      <c r="Q19" s="480"/>
      <c r="R19" s="392"/>
      <c r="S19" s="392">
        <f t="shared" si="5"/>
        <v>0</v>
      </c>
      <c r="T19" s="392"/>
      <c r="U19" s="406">
        <f t="shared" si="6"/>
        <v>0</v>
      </c>
    </row>
    <row r="20" ht="90.0" customHeight="1">
      <c r="B20" s="481" t="s">
        <v>539</v>
      </c>
      <c r="C20" s="391"/>
      <c r="D20" s="392">
        <v>1.0</v>
      </c>
      <c r="E20" s="392" t="s">
        <v>537</v>
      </c>
      <c r="F20" s="83" t="s">
        <v>540</v>
      </c>
      <c r="G20" s="395">
        <v>186.0</v>
      </c>
      <c r="H20" s="396"/>
      <c r="I20" s="397"/>
      <c r="J20" s="398"/>
      <c r="K20" s="399"/>
      <c r="L20" s="478"/>
      <c r="M20" s="479"/>
      <c r="N20" s="402"/>
      <c r="O20" s="403"/>
      <c r="P20" s="404"/>
      <c r="Q20" s="480"/>
      <c r="R20" s="392"/>
      <c r="S20" s="392">
        <f t="shared" si="5"/>
        <v>0</v>
      </c>
      <c r="T20" s="392"/>
      <c r="U20" s="406">
        <f t="shared" si="6"/>
        <v>0</v>
      </c>
    </row>
    <row r="21" ht="90.0" customHeight="1">
      <c r="B21" s="481" t="s">
        <v>541</v>
      </c>
      <c r="C21" s="391"/>
      <c r="D21" s="392">
        <v>1.0</v>
      </c>
      <c r="E21" s="392" t="s">
        <v>537</v>
      </c>
      <c r="F21" s="83" t="s">
        <v>542</v>
      </c>
      <c r="G21" s="395">
        <v>186.0</v>
      </c>
      <c r="H21" s="396"/>
      <c r="I21" s="397"/>
      <c r="J21" s="398"/>
      <c r="K21" s="399"/>
      <c r="L21" s="478"/>
      <c r="M21" s="479"/>
      <c r="N21" s="402"/>
      <c r="O21" s="403"/>
      <c r="P21" s="404"/>
      <c r="Q21" s="480"/>
      <c r="R21" s="392"/>
      <c r="S21" s="392">
        <f t="shared" si="5"/>
        <v>0</v>
      </c>
      <c r="T21" s="392"/>
      <c r="U21" s="406">
        <f t="shared" si="6"/>
        <v>0</v>
      </c>
    </row>
    <row r="22" ht="90.0" customHeight="1">
      <c r="B22" s="481" t="s">
        <v>543</v>
      </c>
      <c r="C22" s="222"/>
      <c r="D22" s="392">
        <v>1.0</v>
      </c>
      <c r="E22" s="392" t="s">
        <v>544</v>
      </c>
      <c r="F22" s="83" t="s">
        <v>545</v>
      </c>
      <c r="G22" s="395">
        <v>147.0</v>
      </c>
      <c r="H22" s="396"/>
      <c r="I22" s="397"/>
      <c r="J22" s="398"/>
      <c r="K22" s="399"/>
      <c r="L22" s="478"/>
      <c r="M22" s="479"/>
      <c r="N22" s="402"/>
      <c r="O22" s="403"/>
      <c r="P22" s="404"/>
      <c r="Q22" s="480"/>
      <c r="R22" s="392"/>
      <c r="S22" s="392">
        <f t="shared" si="5"/>
        <v>0</v>
      </c>
      <c r="T22" s="392">
        <f>S22*1.555</f>
        <v>0</v>
      </c>
      <c r="U22" s="406">
        <f t="shared" si="6"/>
        <v>0</v>
      </c>
    </row>
    <row r="23" ht="90.0" customHeight="1">
      <c r="B23" s="481" t="s">
        <v>546</v>
      </c>
      <c r="C23" s="222"/>
      <c r="D23" s="392">
        <v>1.0</v>
      </c>
      <c r="E23" s="392" t="s">
        <v>547</v>
      </c>
      <c r="F23" s="83" t="s">
        <v>548</v>
      </c>
      <c r="G23" s="395">
        <v>147.0</v>
      </c>
      <c r="H23" s="396"/>
      <c r="I23" s="397"/>
      <c r="J23" s="398"/>
      <c r="K23" s="399"/>
      <c r="L23" s="478"/>
      <c r="M23" s="479"/>
      <c r="N23" s="402"/>
      <c r="O23" s="403"/>
      <c r="P23" s="404"/>
      <c r="Q23" s="480"/>
      <c r="R23" s="392"/>
      <c r="S23" s="392">
        <f t="shared" si="5"/>
        <v>0</v>
      </c>
      <c r="T23" s="392">
        <f>S23*1.599</f>
        <v>0</v>
      </c>
      <c r="U23" s="406">
        <f t="shared" si="6"/>
        <v>0</v>
      </c>
    </row>
    <row r="24" ht="90.0" customHeight="1">
      <c r="B24" s="481" t="s">
        <v>549</v>
      </c>
      <c r="C24" s="222"/>
      <c r="D24" s="392">
        <v>1.0</v>
      </c>
      <c r="E24" s="392" t="s">
        <v>550</v>
      </c>
      <c r="F24" s="83" t="s">
        <v>551</v>
      </c>
      <c r="G24" s="395">
        <v>147.0</v>
      </c>
      <c r="H24" s="396"/>
      <c r="I24" s="397"/>
      <c r="J24" s="398"/>
      <c r="K24" s="399"/>
      <c r="L24" s="478"/>
      <c r="M24" s="479"/>
      <c r="N24" s="402"/>
      <c r="O24" s="403"/>
      <c r="P24" s="404"/>
      <c r="Q24" s="480"/>
      <c r="R24" s="392"/>
      <c r="S24" s="392">
        <f t="shared" si="5"/>
        <v>0</v>
      </c>
      <c r="T24" s="392">
        <f>S24*1.564</f>
        <v>0</v>
      </c>
      <c r="U24" s="406">
        <f t="shared" si="6"/>
        <v>0</v>
      </c>
    </row>
    <row r="25" ht="90.0" customHeight="1">
      <c r="B25" s="481" t="s">
        <v>552</v>
      </c>
      <c r="C25" s="222"/>
      <c r="D25" s="392">
        <v>1.0</v>
      </c>
      <c r="E25" s="392" t="s">
        <v>553</v>
      </c>
      <c r="F25" s="83" t="s">
        <v>554</v>
      </c>
      <c r="G25" s="395">
        <v>147.0</v>
      </c>
      <c r="H25" s="396"/>
      <c r="I25" s="397"/>
      <c r="J25" s="398"/>
      <c r="K25" s="399"/>
      <c r="L25" s="478"/>
      <c r="M25" s="479"/>
      <c r="N25" s="402"/>
      <c r="O25" s="403"/>
      <c r="P25" s="404"/>
      <c r="Q25" s="480"/>
      <c r="R25" s="392"/>
      <c r="S25" s="392">
        <f t="shared" si="5"/>
        <v>0</v>
      </c>
      <c r="T25" s="392">
        <f>S25*1.357</f>
        <v>0</v>
      </c>
      <c r="U25" s="406">
        <f t="shared" si="6"/>
        <v>0</v>
      </c>
    </row>
    <row r="26" ht="90.0" customHeight="1">
      <c r="B26" s="481" t="s">
        <v>555</v>
      </c>
      <c r="C26" s="222"/>
      <c r="D26" s="392">
        <v>1.0</v>
      </c>
      <c r="E26" s="392" t="s">
        <v>556</v>
      </c>
      <c r="F26" s="83" t="s">
        <v>557</v>
      </c>
      <c r="G26" s="395">
        <v>156.0</v>
      </c>
      <c r="H26" s="396"/>
      <c r="I26" s="397"/>
      <c r="J26" s="398"/>
      <c r="K26" s="399"/>
      <c r="L26" s="478"/>
      <c r="M26" s="479"/>
      <c r="N26" s="402"/>
      <c r="O26" s="403"/>
      <c r="P26" s="404"/>
      <c r="Q26" s="480"/>
      <c r="R26" s="392"/>
      <c r="S26" s="392">
        <f t="shared" si="5"/>
        <v>0</v>
      </c>
      <c r="T26" s="392">
        <f>S26*1.613</f>
        <v>0</v>
      </c>
      <c r="U26" s="406">
        <f t="shared" si="6"/>
        <v>0</v>
      </c>
    </row>
    <row r="27" ht="90.0" customHeight="1">
      <c r="B27" s="481" t="s">
        <v>558</v>
      </c>
      <c r="C27" s="222"/>
      <c r="D27" s="392">
        <v>1.0</v>
      </c>
      <c r="E27" s="392" t="s">
        <v>559</v>
      </c>
      <c r="F27" s="83" t="s">
        <v>560</v>
      </c>
      <c r="G27" s="395">
        <v>156.0</v>
      </c>
      <c r="H27" s="396"/>
      <c r="I27" s="397"/>
      <c r="J27" s="398"/>
      <c r="K27" s="399"/>
      <c r="L27" s="478"/>
      <c r="M27" s="479"/>
      <c r="N27" s="402"/>
      <c r="O27" s="403"/>
      <c r="P27" s="404"/>
      <c r="Q27" s="480"/>
      <c r="R27" s="392"/>
      <c r="S27" s="392">
        <f t="shared" si="5"/>
        <v>0</v>
      </c>
      <c r="T27" s="392">
        <f>S27*1.592</f>
        <v>0</v>
      </c>
      <c r="U27" s="406">
        <f t="shared" si="6"/>
        <v>0</v>
      </c>
    </row>
    <row r="28" ht="24.0" customHeight="1">
      <c r="G28" s="440"/>
    </row>
    <row r="29" ht="20.25" customHeight="1">
      <c r="B29" s="497" t="s">
        <v>561</v>
      </c>
      <c r="C29" s="498"/>
      <c r="D29" s="392">
        <f>SUM(D30:D47)</f>
        <v>20</v>
      </c>
      <c r="E29" s="392"/>
      <c r="F29" s="499" t="s">
        <v>562</v>
      </c>
      <c r="G29" s="493">
        <v>3000.0</v>
      </c>
      <c r="H29" s="396"/>
      <c r="I29" s="397"/>
      <c r="J29" s="398"/>
      <c r="K29" s="399"/>
      <c r="L29" s="478"/>
      <c r="M29" s="479"/>
      <c r="N29" s="402"/>
      <c r="O29" s="403"/>
      <c r="P29" s="404"/>
      <c r="Q29" s="480"/>
      <c r="R29" s="392"/>
      <c r="S29" s="461">
        <f>SUM(H29:R29)*18</f>
        <v>0</v>
      </c>
      <c r="T29" s="392">
        <f t="shared" ref="T29:T30" si="7">S29*1.884</f>
        <v>0</v>
      </c>
      <c r="U29" s="462">
        <f>SUM(H29:R29)*G29</f>
        <v>0</v>
      </c>
    </row>
    <row r="30" ht="90.0" customHeight="1">
      <c r="B30" s="481" t="s">
        <v>563</v>
      </c>
      <c r="C30" s="222"/>
      <c r="D30" s="392">
        <v>1.0</v>
      </c>
      <c r="E30" s="392" t="s">
        <v>564</v>
      </c>
      <c r="F30" s="83" t="s">
        <v>565</v>
      </c>
      <c r="G30" s="395">
        <v>184.0</v>
      </c>
      <c r="H30" s="396"/>
      <c r="I30" s="397"/>
      <c r="J30" s="398"/>
      <c r="K30" s="482"/>
      <c r="L30" s="478"/>
      <c r="M30" s="479"/>
      <c r="N30" s="402"/>
      <c r="O30" s="403"/>
      <c r="P30" s="404"/>
      <c r="Q30" s="480"/>
      <c r="R30" s="392"/>
      <c r="S30" s="392">
        <f t="shared" ref="S30:S38" si="8">SUM(H30:R30)</f>
        <v>0</v>
      </c>
      <c r="T30" s="392">
        <f t="shared" si="7"/>
        <v>0</v>
      </c>
      <c r="U30" s="406">
        <f t="shared" ref="U30:U38" si="9">S30*G30</f>
        <v>0</v>
      </c>
    </row>
    <row r="31" ht="90.0" customHeight="1">
      <c r="B31" s="481" t="s">
        <v>566</v>
      </c>
      <c r="C31" s="222"/>
      <c r="D31" s="392">
        <v>1.0</v>
      </c>
      <c r="E31" s="392" t="s">
        <v>567</v>
      </c>
      <c r="F31" s="83" t="s">
        <v>568</v>
      </c>
      <c r="G31" s="395">
        <v>174.0</v>
      </c>
      <c r="H31" s="396"/>
      <c r="I31" s="397"/>
      <c r="J31" s="398"/>
      <c r="K31" s="482"/>
      <c r="L31" s="478"/>
      <c r="M31" s="479"/>
      <c r="N31" s="402"/>
      <c r="O31" s="403"/>
      <c r="P31" s="404"/>
      <c r="Q31" s="480"/>
      <c r="R31" s="392"/>
      <c r="S31" s="392">
        <f t="shared" si="8"/>
        <v>0</v>
      </c>
      <c r="T31" s="392">
        <f>S31*1.879</f>
        <v>0</v>
      </c>
      <c r="U31" s="406">
        <f t="shared" si="9"/>
        <v>0</v>
      </c>
    </row>
    <row r="32" ht="90.0" customHeight="1">
      <c r="B32" s="481" t="s">
        <v>569</v>
      </c>
      <c r="C32" s="222"/>
      <c r="D32" s="392">
        <v>1.0</v>
      </c>
      <c r="E32" s="392" t="s">
        <v>570</v>
      </c>
      <c r="F32" s="83" t="s">
        <v>571</v>
      </c>
      <c r="G32" s="395">
        <v>158.0</v>
      </c>
      <c r="H32" s="396"/>
      <c r="I32" s="397"/>
      <c r="J32" s="398"/>
      <c r="K32" s="482"/>
      <c r="L32" s="478"/>
      <c r="M32" s="479"/>
      <c r="N32" s="402"/>
      <c r="O32" s="403"/>
      <c r="P32" s="404"/>
      <c r="Q32" s="480"/>
      <c r="R32" s="392"/>
      <c r="S32" s="392">
        <f t="shared" si="8"/>
        <v>0</v>
      </c>
      <c r="T32" s="392"/>
      <c r="U32" s="406">
        <f t="shared" si="9"/>
        <v>0</v>
      </c>
    </row>
    <row r="33" ht="90.0" customHeight="1">
      <c r="B33" s="481" t="s">
        <v>572</v>
      </c>
      <c r="C33" s="222"/>
      <c r="D33" s="392">
        <v>1.0</v>
      </c>
      <c r="E33" s="392"/>
      <c r="F33" s="83" t="s">
        <v>573</v>
      </c>
      <c r="G33" s="395">
        <v>159.0</v>
      </c>
      <c r="H33" s="396"/>
      <c r="I33" s="397"/>
      <c r="J33" s="398"/>
      <c r="K33" s="482"/>
      <c r="L33" s="478"/>
      <c r="M33" s="479"/>
      <c r="N33" s="402"/>
      <c r="O33" s="403"/>
      <c r="P33" s="404"/>
      <c r="Q33" s="480"/>
      <c r="R33" s="392"/>
      <c r="S33" s="392">
        <f t="shared" si="8"/>
        <v>0</v>
      </c>
      <c r="T33" s="392"/>
      <c r="U33" s="406">
        <f t="shared" si="9"/>
        <v>0</v>
      </c>
    </row>
    <row r="34" ht="90.0" customHeight="1">
      <c r="B34" s="481" t="s">
        <v>574</v>
      </c>
      <c r="C34" s="222"/>
      <c r="D34" s="392">
        <v>1.0</v>
      </c>
      <c r="E34" s="392"/>
      <c r="F34" s="83" t="s">
        <v>575</v>
      </c>
      <c r="G34" s="395">
        <v>159.0</v>
      </c>
      <c r="H34" s="396"/>
      <c r="I34" s="397"/>
      <c r="J34" s="398"/>
      <c r="K34" s="399"/>
      <c r="L34" s="478"/>
      <c r="M34" s="479"/>
      <c r="N34" s="402"/>
      <c r="O34" s="403"/>
      <c r="P34" s="404"/>
      <c r="Q34" s="480"/>
      <c r="R34" s="392"/>
      <c r="S34" s="392">
        <f t="shared" si="8"/>
        <v>0</v>
      </c>
      <c r="T34" s="392"/>
      <c r="U34" s="406">
        <f t="shared" si="9"/>
        <v>0</v>
      </c>
    </row>
    <row r="35" ht="90.0" customHeight="1">
      <c r="B35" s="481" t="s">
        <v>576</v>
      </c>
      <c r="C35" s="222"/>
      <c r="D35" s="392">
        <v>1.0</v>
      </c>
      <c r="E35" s="392" t="s">
        <v>577</v>
      </c>
      <c r="F35" s="83" t="s">
        <v>578</v>
      </c>
      <c r="G35" s="395">
        <v>188.0</v>
      </c>
      <c r="H35" s="396"/>
      <c r="I35" s="397"/>
      <c r="J35" s="398"/>
      <c r="K35" s="399"/>
      <c r="L35" s="478"/>
      <c r="M35" s="479"/>
      <c r="N35" s="402"/>
      <c r="O35" s="403"/>
      <c r="P35" s="404"/>
      <c r="Q35" s="480"/>
      <c r="R35" s="392"/>
      <c r="S35" s="392">
        <f t="shared" si="8"/>
        <v>0</v>
      </c>
      <c r="T35" s="392"/>
      <c r="U35" s="406">
        <f t="shared" si="9"/>
        <v>0</v>
      </c>
    </row>
    <row r="36" ht="90.0" customHeight="1">
      <c r="B36" s="481" t="s">
        <v>579</v>
      </c>
      <c r="C36" s="222"/>
      <c r="D36" s="392">
        <v>1.0</v>
      </c>
      <c r="E36" s="392"/>
      <c r="F36" s="83" t="s">
        <v>580</v>
      </c>
      <c r="G36" s="395">
        <v>159.0</v>
      </c>
      <c r="H36" s="396"/>
      <c r="I36" s="397"/>
      <c r="J36" s="398"/>
      <c r="K36" s="399"/>
      <c r="L36" s="478"/>
      <c r="M36" s="479"/>
      <c r="N36" s="402"/>
      <c r="O36" s="403"/>
      <c r="P36" s="404"/>
      <c r="Q36" s="480"/>
      <c r="R36" s="392"/>
      <c r="S36" s="392">
        <f t="shared" si="8"/>
        <v>0</v>
      </c>
      <c r="T36" s="392"/>
      <c r="U36" s="406">
        <f t="shared" si="9"/>
        <v>0</v>
      </c>
    </row>
    <row r="37" ht="90.0" customHeight="1">
      <c r="B37" s="481" t="s">
        <v>581</v>
      </c>
      <c r="C37" s="222"/>
      <c r="D37" s="392">
        <v>1.0</v>
      </c>
      <c r="E37" s="392"/>
      <c r="F37" s="83" t="s">
        <v>582</v>
      </c>
      <c r="G37" s="395">
        <v>159.0</v>
      </c>
      <c r="H37" s="396"/>
      <c r="I37" s="397"/>
      <c r="J37" s="398"/>
      <c r="K37" s="399"/>
      <c r="L37" s="478"/>
      <c r="M37" s="479"/>
      <c r="N37" s="402"/>
      <c r="O37" s="403"/>
      <c r="P37" s="404"/>
      <c r="Q37" s="480"/>
      <c r="R37" s="392"/>
      <c r="S37" s="392">
        <f t="shared" si="8"/>
        <v>0</v>
      </c>
      <c r="T37" s="392"/>
      <c r="U37" s="406">
        <f t="shared" si="9"/>
        <v>0</v>
      </c>
    </row>
    <row r="38" ht="90.0" customHeight="1">
      <c r="B38" s="481" t="s">
        <v>583</v>
      </c>
      <c r="C38" s="222"/>
      <c r="D38" s="392">
        <v>4.0</v>
      </c>
      <c r="E38" s="393" t="s">
        <v>584</v>
      </c>
      <c r="F38" s="394" t="s">
        <v>585</v>
      </c>
      <c r="G38" s="395">
        <v>558.0</v>
      </c>
      <c r="H38" s="396"/>
      <c r="I38" s="397"/>
      <c r="J38" s="398"/>
      <c r="K38" s="399"/>
      <c r="L38" s="478"/>
      <c r="M38" s="479"/>
      <c r="N38" s="402"/>
      <c r="O38" s="403"/>
      <c r="P38" s="404"/>
      <c r="Q38" s="480"/>
      <c r="R38" s="392"/>
      <c r="S38" s="392">
        <f t="shared" si="8"/>
        <v>0</v>
      </c>
      <c r="T38" s="392"/>
      <c r="U38" s="406">
        <f t="shared" si="9"/>
        <v>0</v>
      </c>
    </row>
    <row r="39" ht="2.25" customHeight="1">
      <c r="B39" s="481"/>
      <c r="C39" s="222"/>
      <c r="D39" s="392"/>
      <c r="E39" s="392"/>
      <c r="F39" s="83"/>
      <c r="G39" s="395">
        <v>0.0</v>
      </c>
      <c r="H39" s="422"/>
      <c r="I39" s="422"/>
      <c r="J39" s="422"/>
      <c r="K39" s="500"/>
      <c r="L39" s="422"/>
      <c r="M39" s="422"/>
      <c r="N39" s="422"/>
      <c r="O39" s="422"/>
      <c r="P39" s="500"/>
      <c r="Q39" s="422"/>
      <c r="R39" s="392"/>
      <c r="S39" s="392"/>
      <c r="T39" s="392"/>
      <c r="U39" s="406"/>
    </row>
    <row r="40" ht="90.0" customHeight="1">
      <c r="B40" s="481" t="s">
        <v>586</v>
      </c>
      <c r="C40" s="222"/>
      <c r="D40" s="392">
        <v>1.0</v>
      </c>
      <c r="E40" s="392" t="s">
        <v>587</v>
      </c>
      <c r="F40" s="83" t="s">
        <v>588</v>
      </c>
      <c r="G40" s="395">
        <v>178.0</v>
      </c>
      <c r="H40" s="396"/>
      <c r="I40" s="397"/>
      <c r="J40" s="398"/>
      <c r="K40" s="399"/>
      <c r="L40" s="478"/>
      <c r="M40" s="479"/>
      <c r="N40" s="402"/>
      <c r="O40" s="403"/>
      <c r="P40" s="404"/>
      <c r="Q40" s="480"/>
      <c r="R40" s="392"/>
      <c r="S40" s="392">
        <f t="shared" ref="S40:S47" si="10">SUM(H40:R40)</f>
        <v>0</v>
      </c>
      <c r="T40" s="392"/>
      <c r="U40" s="406">
        <f t="shared" ref="U40:U47" si="11">S40*G40</f>
        <v>0</v>
      </c>
    </row>
    <row r="41" ht="90.0" customHeight="1">
      <c r="B41" s="481" t="s">
        <v>589</v>
      </c>
      <c r="C41" s="222"/>
      <c r="D41" s="392">
        <v>1.0</v>
      </c>
      <c r="E41" s="392" t="s">
        <v>590</v>
      </c>
      <c r="F41" s="83" t="s">
        <v>591</v>
      </c>
      <c r="G41" s="395">
        <v>190.0</v>
      </c>
      <c r="H41" s="396"/>
      <c r="I41" s="397"/>
      <c r="J41" s="398"/>
      <c r="K41" s="399"/>
      <c r="L41" s="478"/>
      <c r="M41" s="479"/>
      <c r="N41" s="402"/>
      <c r="O41" s="403"/>
      <c r="P41" s="404"/>
      <c r="Q41" s="480"/>
      <c r="R41" s="392"/>
      <c r="S41" s="392">
        <f t="shared" si="10"/>
        <v>0</v>
      </c>
      <c r="T41" s="392"/>
      <c r="U41" s="406">
        <f t="shared" si="11"/>
        <v>0</v>
      </c>
    </row>
    <row r="42" ht="90.0" customHeight="1">
      <c r="B42" s="481" t="s">
        <v>592</v>
      </c>
      <c r="C42" s="222"/>
      <c r="D42" s="392">
        <v>1.0</v>
      </c>
      <c r="E42" s="501" t="s">
        <v>593</v>
      </c>
      <c r="F42" s="83" t="s">
        <v>594</v>
      </c>
      <c r="G42" s="395">
        <v>200.0</v>
      </c>
      <c r="H42" s="396"/>
      <c r="I42" s="397"/>
      <c r="J42" s="398"/>
      <c r="K42" s="399"/>
      <c r="L42" s="478"/>
      <c r="M42" s="479"/>
      <c r="N42" s="402"/>
      <c r="O42" s="403"/>
      <c r="P42" s="404"/>
      <c r="Q42" s="480"/>
      <c r="R42" s="392"/>
      <c r="S42" s="392">
        <f t="shared" si="10"/>
        <v>0</v>
      </c>
      <c r="T42" s="392"/>
      <c r="U42" s="406">
        <f t="shared" si="11"/>
        <v>0</v>
      </c>
    </row>
    <row r="43" ht="90.0" customHeight="1">
      <c r="B43" s="481" t="s">
        <v>595</v>
      </c>
      <c r="C43" s="222"/>
      <c r="D43" s="392">
        <v>1.0</v>
      </c>
      <c r="E43" s="501" t="s">
        <v>596</v>
      </c>
      <c r="F43" s="83" t="s">
        <v>597</v>
      </c>
      <c r="G43" s="395">
        <v>200.0</v>
      </c>
      <c r="H43" s="396"/>
      <c r="I43" s="397"/>
      <c r="J43" s="398"/>
      <c r="K43" s="399"/>
      <c r="L43" s="478"/>
      <c r="M43" s="479"/>
      <c r="N43" s="402"/>
      <c r="O43" s="403"/>
      <c r="P43" s="404"/>
      <c r="Q43" s="480"/>
      <c r="R43" s="392"/>
      <c r="S43" s="392">
        <f t="shared" si="10"/>
        <v>0</v>
      </c>
      <c r="T43" s="392"/>
      <c r="U43" s="406">
        <f t="shared" si="11"/>
        <v>0</v>
      </c>
    </row>
    <row r="44" ht="90.0" customHeight="1">
      <c r="B44" s="481" t="s">
        <v>598</v>
      </c>
      <c r="C44" s="392" t="s">
        <v>599</v>
      </c>
      <c r="D44" s="392">
        <v>1.0</v>
      </c>
      <c r="E44" s="392" t="s">
        <v>600</v>
      </c>
      <c r="F44" s="83" t="s">
        <v>601</v>
      </c>
      <c r="G44" s="395">
        <v>159.0</v>
      </c>
      <c r="H44" s="396"/>
      <c r="I44" s="397"/>
      <c r="J44" s="398"/>
      <c r="K44" s="399"/>
      <c r="L44" s="478"/>
      <c r="M44" s="479"/>
      <c r="N44" s="402"/>
      <c r="O44" s="403"/>
      <c r="P44" s="404"/>
      <c r="Q44" s="480"/>
      <c r="R44" s="392"/>
      <c r="S44" s="392">
        <f t="shared" si="10"/>
        <v>0</v>
      </c>
      <c r="T44" s="392"/>
      <c r="U44" s="406">
        <f t="shared" si="11"/>
        <v>0</v>
      </c>
    </row>
    <row r="45" ht="90.0" customHeight="1">
      <c r="B45" s="481" t="s">
        <v>602</v>
      </c>
      <c r="C45" s="222"/>
      <c r="D45" s="392">
        <v>1.0</v>
      </c>
      <c r="E45" s="392" t="s">
        <v>603</v>
      </c>
      <c r="F45" s="83" t="s">
        <v>604</v>
      </c>
      <c r="G45" s="395">
        <v>158.0</v>
      </c>
      <c r="H45" s="396"/>
      <c r="I45" s="397"/>
      <c r="J45" s="398"/>
      <c r="K45" s="399"/>
      <c r="L45" s="478"/>
      <c r="M45" s="479"/>
      <c r="N45" s="402"/>
      <c r="O45" s="403"/>
      <c r="P45" s="404"/>
      <c r="Q45" s="480"/>
      <c r="R45" s="392"/>
      <c r="S45" s="392">
        <f t="shared" si="10"/>
        <v>0</v>
      </c>
      <c r="T45" s="392"/>
      <c r="U45" s="406">
        <f t="shared" si="11"/>
        <v>0</v>
      </c>
    </row>
    <row r="46" ht="90.0" customHeight="1">
      <c r="B46" s="481" t="s">
        <v>605</v>
      </c>
      <c r="C46" s="222"/>
      <c r="D46" s="392">
        <v>1.0</v>
      </c>
      <c r="E46" s="392"/>
      <c r="F46" s="83" t="s">
        <v>606</v>
      </c>
      <c r="G46" s="395">
        <v>159.0</v>
      </c>
      <c r="H46" s="396"/>
      <c r="I46" s="397"/>
      <c r="J46" s="398"/>
      <c r="K46" s="399"/>
      <c r="L46" s="478"/>
      <c r="M46" s="479"/>
      <c r="N46" s="402"/>
      <c r="O46" s="403"/>
      <c r="P46" s="404"/>
      <c r="Q46" s="480"/>
      <c r="R46" s="392"/>
      <c r="S46" s="392">
        <f t="shared" si="10"/>
        <v>0</v>
      </c>
      <c r="T46" s="392"/>
      <c r="U46" s="406">
        <f t="shared" si="11"/>
        <v>0</v>
      </c>
    </row>
    <row r="47" ht="90.0" customHeight="1">
      <c r="B47" s="481" t="s">
        <v>607</v>
      </c>
      <c r="C47" s="502"/>
      <c r="D47" s="503">
        <v>1.0</v>
      </c>
      <c r="E47" s="503"/>
      <c r="F47" s="89" t="s">
        <v>608</v>
      </c>
      <c r="G47" s="504">
        <v>159.0</v>
      </c>
      <c r="H47" s="505"/>
      <c r="I47" s="506"/>
      <c r="J47" s="507"/>
      <c r="K47" s="508"/>
      <c r="L47" s="509"/>
      <c r="M47" s="510"/>
      <c r="N47" s="511"/>
      <c r="O47" s="512"/>
      <c r="P47" s="513"/>
      <c r="Q47" s="514"/>
      <c r="R47" s="503"/>
      <c r="S47" s="503">
        <f t="shared" si="10"/>
        <v>0</v>
      </c>
      <c r="T47" s="503"/>
      <c r="U47" s="515">
        <f t="shared" si="11"/>
        <v>0</v>
      </c>
    </row>
    <row r="48" ht="15.75" customHeight="1">
      <c r="G48" s="440"/>
      <c r="H48" s="516">
        <f t="shared" ref="H48:U48" si="12">SUM(H7:H47)</f>
        <v>0</v>
      </c>
      <c r="I48" s="516">
        <f t="shared" si="12"/>
        <v>0</v>
      </c>
      <c r="J48" s="516">
        <f t="shared" si="12"/>
        <v>0</v>
      </c>
      <c r="K48" s="516">
        <f t="shared" si="12"/>
        <v>0</v>
      </c>
      <c r="L48" s="516">
        <f t="shared" si="12"/>
        <v>0</v>
      </c>
      <c r="M48" s="516">
        <f t="shared" si="12"/>
        <v>0</v>
      </c>
      <c r="N48" s="516">
        <f t="shared" si="12"/>
        <v>0</v>
      </c>
      <c r="O48" s="516">
        <f t="shared" si="12"/>
        <v>0</v>
      </c>
      <c r="P48" s="516">
        <f t="shared" si="12"/>
        <v>0</v>
      </c>
      <c r="Q48" s="516">
        <f t="shared" si="12"/>
        <v>0</v>
      </c>
      <c r="R48" s="516">
        <f t="shared" si="12"/>
        <v>0</v>
      </c>
      <c r="S48" s="516">
        <f t="shared" si="12"/>
        <v>0</v>
      </c>
      <c r="T48" s="516">
        <f t="shared" si="12"/>
        <v>0</v>
      </c>
      <c r="U48" s="517">
        <f t="shared" si="12"/>
        <v>0</v>
      </c>
    </row>
    <row r="49" ht="15.75" customHeight="1">
      <c r="G49" s="440"/>
    </row>
    <row r="50" ht="15.75" customHeight="1">
      <c r="G50" s="440"/>
    </row>
    <row r="51" ht="15.75" customHeight="1">
      <c r="G51" s="440"/>
    </row>
    <row r="52" ht="15.75" customHeight="1">
      <c r="G52" s="440"/>
    </row>
    <row r="53" ht="15.75" customHeight="1">
      <c r="G53" s="440"/>
    </row>
    <row r="54" ht="15.75" customHeight="1">
      <c r="G54" s="440"/>
    </row>
    <row r="55" ht="15.75" customHeight="1">
      <c r="G55" s="440"/>
    </row>
    <row r="56" ht="15.75" customHeight="1">
      <c r="G56" s="440"/>
    </row>
    <row r="57" ht="15.75" customHeight="1">
      <c r="G57" s="440"/>
    </row>
    <row r="58" ht="15.75" customHeight="1">
      <c r="G58" s="440"/>
    </row>
    <row r="59" ht="15.75" customHeight="1">
      <c r="G59" s="440"/>
    </row>
    <row r="60" ht="15.75" customHeight="1">
      <c r="G60" s="440"/>
    </row>
    <row r="61" ht="15.75" customHeight="1">
      <c r="G61" s="440"/>
    </row>
    <row r="62" ht="15.75" customHeight="1">
      <c r="G62" s="440"/>
    </row>
    <row r="63" ht="15.75" customHeight="1">
      <c r="G63" s="440"/>
    </row>
    <row r="64" ht="15.75" customHeight="1">
      <c r="G64" s="440"/>
    </row>
    <row r="65" ht="15.75" customHeight="1">
      <c r="G65" s="440"/>
    </row>
    <row r="66" ht="15.75" customHeight="1">
      <c r="G66" s="440"/>
    </row>
    <row r="67" ht="15.75" customHeight="1">
      <c r="G67" s="440"/>
    </row>
    <row r="68" ht="15.75" customHeight="1">
      <c r="G68" s="440"/>
    </row>
    <row r="69" ht="15.75" customHeight="1">
      <c r="G69" s="440"/>
    </row>
    <row r="70" ht="15.75" customHeight="1">
      <c r="G70" s="440"/>
    </row>
    <row r="71" ht="15.75" customHeight="1">
      <c r="G71" s="440"/>
    </row>
    <row r="72" ht="15.75" customHeight="1">
      <c r="G72" s="440"/>
    </row>
    <row r="73" ht="15.75" customHeight="1">
      <c r="G73" s="440"/>
    </row>
    <row r="74" ht="15.75" customHeight="1">
      <c r="G74" s="440"/>
    </row>
    <row r="75" ht="15.75" customHeight="1">
      <c r="G75" s="440"/>
    </row>
    <row r="76" ht="15.75" customHeight="1">
      <c r="G76" s="440"/>
    </row>
    <row r="77" ht="15.75" customHeight="1">
      <c r="G77" s="440"/>
    </row>
    <row r="78" ht="15.75" customHeight="1">
      <c r="G78" s="440"/>
    </row>
    <row r="79" ht="15.75" customHeight="1">
      <c r="G79" s="440"/>
    </row>
    <row r="80" ht="15.75" customHeight="1">
      <c r="G80" s="440"/>
    </row>
    <row r="81" ht="15.75" customHeight="1">
      <c r="G81" s="440"/>
    </row>
    <row r="82" ht="15.75" customHeight="1">
      <c r="G82" s="440"/>
    </row>
    <row r="83" ht="15.75" customHeight="1">
      <c r="G83" s="440"/>
    </row>
    <row r="84" ht="15.75" customHeight="1">
      <c r="G84" s="440"/>
    </row>
    <row r="85" ht="15.75" customHeight="1">
      <c r="G85" s="440"/>
    </row>
    <row r="86" ht="15.75" customHeight="1">
      <c r="G86" s="440"/>
    </row>
    <row r="87" ht="15.75" customHeight="1">
      <c r="G87" s="440"/>
    </row>
    <row r="88" ht="15.75" customHeight="1">
      <c r="G88" s="440"/>
    </row>
    <row r="89" ht="15.75" customHeight="1">
      <c r="G89" s="440"/>
    </row>
    <row r="90" ht="15.75" customHeight="1">
      <c r="G90" s="440"/>
    </row>
    <row r="91" ht="15.75" customHeight="1">
      <c r="G91" s="440"/>
    </row>
    <row r="92" ht="15.75" customHeight="1">
      <c r="G92" s="440"/>
    </row>
    <row r="93" ht="15.75" customHeight="1">
      <c r="G93" s="440"/>
    </row>
    <row r="94" ht="15.75" customHeight="1">
      <c r="G94" s="440"/>
    </row>
    <row r="95" ht="15.75" customHeight="1">
      <c r="G95" s="440"/>
    </row>
    <row r="96" ht="15.75" customHeight="1">
      <c r="G96" s="440"/>
    </row>
    <row r="97" ht="15.75" customHeight="1">
      <c r="G97" s="440"/>
    </row>
    <row r="98" ht="15.75" customHeight="1">
      <c r="G98" s="440"/>
    </row>
    <row r="99" ht="15.75" customHeight="1">
      <c r="G99" s="440"/>
    </row>
    <row r="100" ht="15.75" customHeight="1">
      <c r="G100" s="440"/>
    </row>
    <row r="101" ht="15.75" customHeight="1">
      <c r="G101" s="440"/>
    </row>
    <row r="102" ht="15.75" customHeight="1">
      <c r="G102" s="440"/>
    </row>
    <row r="103" ht="15.75" customHeight="1">
      <c r="G103" s="440"/>
    </row>
    <row r="104" ht="15.75" customHeight="1">
      <c r="G104" s="440"/>
    </row>
    <row r="105" ht="15.75" customHeight="1">
      <c r="G105" s="440"/>
    </row>
    <row r="106" ht="15.75" customHeight="1">
      <c r="G106" s="440"/>
    </row>
    <row r="107" ht="15.75" customHeight="1">
      <c r="G107" s="440"/>
    </row>
    <row r="108" ht="15.75" customHeight="1">
      <c r="G108" s="440"/>
    </row>
    <row r="109" ht="15.75" customHeight="1">
      <c r="G109" s="440"/>
    </row>
    <row r="110" ht="15.75" customHeight="1">
      <c r="G110" s="440"/>
    </row>
    <row r="111" ht="15.75" customHeight="1">
      <c r="G111" s="440"/>
    </row>
    <row r="112" ht="15.75" customHeight="1">
      <c r="G112" s="440"/>
    </row>
    <row r="113" ht="15.75" customHeight="1">
      <c r="G113" s="440"/>
    </row>
    <row r="114" ht="15.75" customHeight="1">
      <c r="G114" s="440"/>
    </row>
    <row r="115" ht="15.75" customHeight="1">
      <c r="G115" s="440"/>
    </row>
    <row r="116" ht="15.75" customHeight="1">
      <c r="G116" s="440"/>
    </row>
    <row r="117" ht="15.75" customHeight="1">
      <c r="G117" s="440"/>
    </row>
    <row r="118" ht="15.75" customHeight="1">
      <c r="G118" s="440"/>
    </row>
    <row r="119" ht="15.75" customHeight="1">
      <c r="G119" s="440"/>
    </row>
    <row r="120" ht="15.75" customHeight="1">
      <c r="G120" s="440"/>
    </row>
    <row r="121" ht="15.75" customHeight="1">
      <c r="G121" s="440"/>
    </row>
    <row r="122" ht="15.75" customHeight="1">
      <c r="G122" s="440"/>
    </row>
    <row r="123" ht="15.75" customHeight="1">
      <c r="G123" s="440"/>
    </row>
    <row r="124" ht="15.75" customHeight="1">
      <c r="G124" s="440"/>
    </row>
    <row r="125" ht="15.75" customHeight="1">
      <c r="G125" s="440"/>
    </row>
    <row r="126" ht="15.75" customHeight="1">
      <c r="G126" s="440"/>
    </row>
    <row r="127" ht="15.75" customHeight="1">
      <c r="G127" s="440"/>
    </row>
    <row r="128" ht="15.75" customHeight="1">
      <c r="G128" s="440"/>
    </row>
    <row r="129" ht="15.75" customHeight="1">
      <c r="G129" s="440"/>
    </row>
    <row r="130" ht="15.75" customHeight="1">
      <c r="G130" s="440"/>
    </row>
    <row r="131" ht="15.75" customHeight="1">
      <c r="G131" s="440"/>
    </row>
    <row r="132" ht="15.75" customHeight="1">
      <c r="G132" s="440"/>
    </row>
    <row r="133" ht="15.75" customHeight="1">
      <c r="G133" s="440"/>
    </row>
    <row r="134" ht="15.75" customHeight="1">
      <c r="G134" s="440"/>
    </row>
    <row r="135" ht="15.75" customHeight="1">
      <c r="G135" s="440"/>
    </row>
    <row r="136" ht="15.75" customHeight="1">
      <c r="G136" s="440"/>
    </row>
    <row r="137" ht="15.75" customHeight="1">
      <c r="G137" s="440"/>
    </row>
    <row r="138" ht="15.75" customHeight="1">
      <c r="G138" s="440"/>
    </row>
    <row r="139" ht="15.75" customHeight="1">
      <c r="G139" s="440"/>
    </row>
    <row r="140" ht="15.75" customHeight="1">
      <c r="G140" s="440"/>
    </row>
    <row r="141" ht="15.75" customHeight="1">
      <c r="G141" s="440"/>
    </row>
    <row r="142" ht="15.75" customHeight="1">
      <c r="G142" s="440"/>
    </row>
    <row r="143" ht="15.75" customHeight="1">
      <c r="G143" s="440"/>
    </row>
    <row r="144" ht="15.75" customHeight="1">
      <c r="G144" s="440"/>
    </row>
    <row r="145" ht="15.75" customHeight="1">
      <c r="G145" s="440"/>
    </row>
    <row r="146" ht="15.75" customHeight="1">
      <c r="G146" s="440"/>
    </row>
    <row r="147" ht="15.75" customHeight="1">
      <c r="G147" s="440"/>
    </row>
    <row r="148" ht="15.75" customHeight="1">
      <c r="G148" s="440"/>
    </row>
    <row r="149" ht="15.75" customHeight="1">
      <c r="G149" s="440"/>
    </row>
    <row r="150" ht="15.75" customHeight="1">
      <c r="G150" s="440"/>
    </row>
    <row r="151" ht="15.75" customHeight="1">
      <c r="G151" s="440"/>
    </row>
    <row r="152" ht="15.75" customHeight="1">
      <c r="G152" s="440"/>
    </row>
    <row r="153" ht="15.75" customHeight="1">
      <c r="G153" s="440"/>
    </row>
    <row r="154" ht="15.75" customHeight="1">
      <c r="G154" s="440"/>
    </row>
    <row r="155" ht="15.75" customHeight="1">
      <c r="G155" s="440"/>
    </row>
    <row r="156" ht="15.75" customHeight="1">
      <c r="G156" s="440"/>
    </row>
    <row r="157" ht="15.75" customHeight="1">
      <c r="G157" s="440"/>
    </row>
    <row r="158" ht="15.75" customHeight="1">
      <c r="G158" s="440"/>
    </row>
    <row r="159" ht="15.75" customHeight="1">
      <c r="G159" s="440"/>
    </row>
    <row r="160" ht="15.75" customHeight="1">
      <c r="G160" s="440"/>
    </row>
    <row r="161" ht="15.75" customHeight="1">
      <c r="G161" s="440"/>
    </row>
    <row r="162" ht="15.75" customHeight="1">
      <c r="G162" s="440"/>
    </row>
    <row r="163" ht="15.75" customHeight="1">
      <c r="G163" s="440"/>
    </row>
    <row r="164" ht="15.75" customHeight="1">
      <c r="G164" s="440"/>
    </row>
    <row r="165" ht="15.75" customHeight="1">
      <c r="G165" s="440"/>
    </row>
    <row r="166" ht="15.75" customHeight="1">
      <c r="G166" s="440"/>
    </row>
    <row r="167" ht="15.75" customHeight="1">
      <c r="G167" s="440"/>
    </row>
    <row r="168" ht="15.75" customHeight="1">
      <c r="G168" s="440"/>
    </row>
    <row r="169" ht="15.75" customHeight="1">
      <c r="G169" s="440"/>
    </row>
    <row r="170" ht="15.75" customHeight="1">
      <c r="G170" s="440"/>
    </row>
    <row r="171" ht="15.75" customHeight="1">
      <c r="G171" s="440"/>
    </row>
    <row r="172" ht="15.75" customHeight="1">
      <c r="G172" s="440"/>
    </row>
    <row r="173" ht="15.75" customHeight="1">
      <c r="G173" s="440"/>
    </row>
    <row r="174" ht="15.75" customHeight="1">
      <c r="G174" s="440"/>
    </row>
    <row r="175" ht="15.75" customHeight="1">
      <c r="G175" s="440"/>
    </row>
    <row r="176" ht="15.75" customHeight="1">
      <c r="G176" s="440"/>
    </row>
    <row r="177" ht="15.75" customHeight="1">
      <c r="G177" s="440"/>
    </row>
    <row r="178" ht="15.75" customHeight="1">
      <c r="G178" s="440"/>
    </row>
    <row r="179" ht="15.75" customHeight="1">
      <c r="G179" s="440"/>
    </row>
    <row r="180" ht="15.75" customHeight="1">
      <c r="G180" s="440"/>
    </row>
    <row r="181" ht="15.75" customHeight="1">
      <c r="G181" s="440"/>
    </row>
    <row r="182" ht="15.75" customHeight="1">
      <c r="G182" s="440"/>
    </row>
    <row r="183" ht="15.75" customHeight="1">
      <c r="G183" s="440"/>
    </row>
    <row r="184" ht="15.75" customHeight="1">
      <c r="G184" s="440"/>
    </row>
    <row r="185" ht="15.75" customHeight="1">
      <c r="G185" s="440"/>
    </row>
    <row r="186" ht="15.75" customHeight="1">
      <c r="G186" s="440"/>
    </row>
    <row r="187" ht="15.75" customHeight="1">
      <c r="G187" s="440"/>
    </row>
    <row r="188" ht="15.75" customHeight="1">
      <c r="G188" s="440"/>
    </row>
    <row r="189" ht="15.75" customHeight="1">
      <c r="G189" s="440"/>
    </row>
    <row r="190" ht="15.75" customHeight="1">
      <c r="G190" s="440"/>
    </row>
    <row r="191" ht="15.75" customHeight="1">
      <c r="G191" s="440"/>
    </row>
    <row r="192" ht="15.75" customHeight="1">
      <c r="G192" s="440"/>
    </row>
    <row r="193" ht="15.75" customHeight="1">
      <c r="G193" s="440"/>
    </row>
    <row r="194" ht="15.75" customHeight="1">
      <c r="G194" s="440"/>
    </row>
    <row r="195" ht="15.75" customHeight="1">
      <c r="G195" s="440"/>
    </row>
    <row r="196" ht="15.75" customHeight="1">
      <c r="G196" s="440"/>
    </row>
    <row r="197" ht="15.75" customHeight="1">
      <c r="G197" s="440"/>
    </row>
    <row r="198" ht="15.75" customHeight="1">
      <c r="G198" s="440"/>
    </row>
    <row r="199" ht="15.75" customHeight="1">
      <c r="G199" s="440"/>
    </row>
    <row r="200" ht="15.75" customHeight="1">
      <c r="G200" s="440"/>
    </row>
    <row r="201" ht="15.75" customHeight="1">
      <c r="G201" s="440"/>
    </row>
    <row r="202" ht="15.75" customHeight="1">
      <c r="G202" s="440"/>
    </row>
    <row r="203" ht="15.75" customHeight="1">
      <c r="G203" s="440"/>
    </row>
    <row r="204" ht="15.75" customHeight="1">
      <c r="G204" s="440"/>
    </row>
    <row r="205" ht="15.75" customHeight="1">
      <c r="G205" s="440"/>
    </row>
    <row r="206" ht="15.75" customHeight="1">
      <c r="G206" s="440"/>
    </row>
    <row r="207" ht="15.75" customHeight="1">
      <c r="G207" s="440"/>
    </row>
    <row r="208" ht="15.75" customHeight="1">
      <c r="G208" s="440"/>
    </row>
    <row r="209" ht="15.75" customHeight="1">
      <c r="G209" s="440"/>
    </row>
    <row r="210" ht="15.75" customHeight="1">
      <c r="G210" s="440"/>
    </row>
    <row r="211" ht="15.75" customHeight="1">
      <c r="G211" s="440"/>
    </row>
    <row r="212" ht="15.75" customHeight="1">
      <c r="G212" s="440"/>
    </row>
    <row r="213" ht="15.75" customHeight="1">
      <c r="G213" s="440"/>
    </row>
    <row r="214" ht="15.75" customHeight="1">
      <c r="G214" s="440"/>
    </row>
    <row r="215" ht="15.75" customHeight="1">
      <c r="G215" s="440"/>
    </row>
    <row r="216" ht="15.75" customHeight="1">
      <c r="G216" s="440"/>
    </row>
    <row r="217" ht="15.75" customHeight="1">
      <c r="G217" s="440"/>
    </row>
    <row r="218" ht="15.75" customHeight="1">
      <c r="G218" s="440"/>
    </row>
    <row r="219" ht="15.75" customHeight="1">
      <c r="G219" s="440"/>
    </row>
    <row r="220" ht="15.75" customHeight="1">
      <c r="G220" s="440"/>
    </row>
    <row r="221" ht="15.75" customHeight="1">
      <c r="G221" s="440"/>
    </row>
    <row r="222" ht="15.75" customHeight="1">
      <c r="G222" s="440"/>
    </row>
    <row r="223" ht="15.75" customHeight="1">
      <c r="G223" s="440"/>
    </row>
    <row r="224" ht="15.75" customHeight="1">
      <c r="G224" s="440"/>
    </row>
    <row r="225" ht="15.75" customHeight="1">
      <c r="G225" s="440"/>
    </row>
    <row r="226" ht="15.75" customHeight="1">
      <c r="G226" s="440"/>
    </row>
    <row r="227" ht="15.75" customHeight="1">
      <c r="G227" s="440"/>
    </row>
    <row r="228" ht="15.75" customHeight="1">
      <c r="G228" s="440"/>
    </row>
    <row r="229" ht="15.75" customHeight="1">
      <c r="G229" s="440"/>
    </row>
    <row r="230" ht="15.75" customHeight="1">
      <c r="G230" s="440"/>
    </row>
    <row r="231" ht="15.75" customHeight="1">
      <c r="G231" s="440"/>
    </row>
    <row r="232" ht="15.75" customHeight="1">
      <c r="G232" s="440"/>
    </row>
    <row r="233" ht="15.75" customHeight="1">
      <c r="G233" s="440"/>
    </row>
    <row r="234" ht="15.75" customHeight="1">
      <c r="G234" s="440"/>
    </row>
    <row r="235" ht="15.75" customHeight="1">
      <c r="G235" s="440"/>
    </row>
    <row r="236" ht="15.75" customHeight="1">
      <c r="G236" s="440"/>
    </row>
    <row r="237" ht="15.75" customHeight="1">
      <c r="G237" s="440"/>
    </row>
    <row r="238" ht="15.75" customHeight="1">
      <c r="G238" s="440"/>
    </row>
    <row r="239" ht="15.75" customHeight="1">
      <c r="G239" s="440"/>
    </row>
    <row r="240" ht="15.75" customHeight="1">
      <c r="G240" s="440"/>
    </row>
    <row r="241" ht="15.75" customHeight="1">
      <c r="G241" s="440"/>
    </row>
    <row r="242" ht="15.75" customHeight="1">
      <c r="G242" s="440"/>
    </row>
    <row r="243" ht="15.75" customHeight="1">
      <c r="G243" s="440"/>
    </row>
    <row r="244" ht="15.75" customHeight="1">
      <c r="G244" s="440"/>
    </row>
    <row r="245" ht="15.75" customHeight="1">
      <c r="G245" s="440"/>
    </row>
    <row r="246" ht="15.75" customHeight="1">
      <c r="G246" s="440"/>
    </row>
    <row r="247" ht="15.75" customHeight="1">
      <c r="G247" s="440"/>
    </row>
    <row r="248" ht="15.75" customHeight="1">
      <c r="G248" s="440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G2:O3"/>
    <mergeCell ref="B15:C15"/>
    <mergeCell ref="B29:C29"/>
  </mergeCells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66FF"/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8.86"/>
    <col customWidth="1" min="3" max="19" width="9.14"/>
    <col customWidth="1" min="20" max="20" width="12.14"/>
    <col customWidth="1" min="21" max="21" width="7.14"/>
    <col customWidth="1" min="22" max="22" width="24.86"/>
  </cols>
  <sheetData>
    <row r="1">
      <c r="T1" s="1"/>
    </row>
    <row r="2">
      <c r="T2" s="1"/>
    </row>
    <row r="3">
      <c r="B3" s="518"/>
      <c r="C3" s="519"/>
      <c r="D3" s="519"/>
      <c r="E3" s="519"/>
      <c r="F3" s="519"/>
      <c r="G3" s="519"/>
      <c r="H3" s="519"/>
      <c r="I3" s="519"/>
      <c r="J3" s="519"/>
      <c r="K3" s="519"/>
      <c r="L3" s="519"/>
      <c r="M3" s="519"/>
      <c r="N3" s="519"/>
      <c r="O3" s="519"/>
      <c r="P3" s="519"/>
      <c r="Q3" s="519"/>
      <c r="R3" s="519"/>
      <c r="S3" s="519"/>
      <c r="T3" s="519"/>
      <c r="U3" s="519"/>
      <c r="V3" s="520"/>
    </row>
    <row r="4">
      <c r="B4" s="521" t="s">
        <v>609</v>
      </c>
      <c r="C4" s="522"/>
      <c r="D4" s="522"/>
      <c r="E4" s="522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</row>
    <row r="5">
      <c r="B5" s="523" t="s">
        <v>610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18.0" customHeight="1">
      <c r="D6" s="319"/>
      <c r="E6" s="319"/>
      <c r="F6" s="319"/>
      <c r="G6" s="524"/>
      <c r="H6" s="319"/>
      <c r="I6" s="319"/>
      <c r="J6" s="319"/>
      <c r="K6" s="319"/>
      <c r="L6" s="319"/>
      <c r="M6" s="319"/>
      <c r="N6" s="319"/>
      <c r="O6" s="319"/>
      <c r="P6" s="319"/>
      <c r="Q6" s="443" t="s">
        <v>19</v>
      </c>
      <c r="R6" s="443" t="s">
        <v>20</v>
      </c>
      <c r="S6" s="443" t="s">
        <v>611</v>
      </c>
      <c r="T6" s="317"/>
      <c r="V6" s="525" t="s">
        <v>612</v>
      </c>
    </row>
    <row r="7">
      <c r="B7" s="526" t="s">
        <v>0</v>
      </c>
      <c r="D7" s="527">
        <f>ECLIPSE!G25</f>
        <v>0</v>
      </c>
      <c r="E7" s="528">
        <f>ECLIPSE!H25</f>
        <v>0</v>
      </c>
      <c r="F7" s="529">
        <f>ECLIPSE!I25</f>
        <v>0</v>
      </c>
      <c r="G7" s="530">
        <f>ECLIPSE!J25</f>
        <v>0</v>
      </c>
      <c r="H7" s="531">
        <f>ECLIPSE!K25</f>
        <v>0</v>
      </c>
      <c r="I7" s="532">
        <f>ECLIPSE!L25</f>
        <v>0</v>
      </c>
      <c r="J7" s="533">
        <f>ECLIPSE!M25</f>
        <v>0</v>
      </c>
      <c r="K7" s="534">
        <f>ECLIPSE!N25</f>
        <v>0</v>
      </c>
      <c r="L7" s="535">
        <f>ECLIPSE!O25</f>
        <v>0</v>
      </c>
      <c r="M7" s="536">
        <f>ECLIPSE!P25</f>
        <v>0</v>
      </c>
      <c r="N7" s="537">
        <f>ECLIPSE!Q25</f>
        <v>0</v>
      </c>
      <c r="O7" s="538">
        <f>ECLIPSE!R25</f>
        <v>0</v>
      </c>
      <c r="P7" s="166">
        <f>ECLIPSE!S25</f>
        <v>0</v>
      </c>
      <c r="Q7" s="539">
        <f>ECLIPSE!T25</f>
        <v>0</v>
      </c>
      <c r="R7" s="539">
        <f>ECLIPSE!U25</f>
        <v>0</v>
      </c>
      <c r="S7" s="539">
        <f>ECLIPSE!V25</f>
        <v>0</v>
      </c>
      <c r="T7" s="540">
        <f>ECLIPSE!W25</f>
        <v>0</v>
      </c>
      <c r="V7" s="541"/>
    </row>
    <row r="8">
      <c r="C8" s="4"/>
      <c r="D8" s="319"/>
      <c r="E8" s="319"/>
      <c r="F8" s="319"/>
      <c r="G8" s="524"/>
      <c r="H8" s="319"/>
      <c r="I8" s="319"/>
      <c r="J8" s="319"/>
      <c r="K8" s="319"/>
      <c r="L8" s="319"/>
      <c r="M8" s="319"/>
      <c r="N8" s="319"/>
      <c r="O8" s="319"/>
      <c r="P8" s="524"/>
      <c r="Q8" s="319"/>
      <c r="R8" s="443"/>
      <c r="S8" s="443"/>
      <c r="T8" s="317"/>
    </row>
    <row r="9">
      <c r="B9" s="526" t="s">
        <v>613</v>
      </c>
      <c r="D9" s="527">
        <f>ECLIPSE!G40</f>
        <v>0</v>
      </c>
      <c r="E9" s="528">
        <f>ECLIPSE!H40</f>
        <v>0</v>
      </c>
      <c r="F9" s="529">
        <f>ECLIPSE!I40</f>
        <v>0</v>
      </c>
      <c r="G9" s="530">
        <f>ECLIPSE!J40</f>
        <v>0</v>
      </c>
      <c r="H9" s="531">
        <f>ECLIPSE!K40</f>
        <v>0</v>
      </c>
      <c r="I9" s="532">
        <f>ECLIPSE!L40</f>
        <v>0</v>
      </c>
      <c r="J9" s="533">
        <f>ECLIPSE!M40</f>
        <v>0</v>
      </c>
      <c r="K9" s="534">
        <f>ECLIPSE!N40</f>
        <v>0</v>
      </c>
      <c r="L9" s="535">
        <f>ECLIPSE!O40</f>
        <v>0</v>
      </c>
      <c r="M9" s="536">
        <f>ECLIPSE!P40</f>
        <v>0</v>
      </c>
      <c r="N9" s="537">
        <f>ECLIPSE!Q40</f>
        <v>0</v>
      </c>
      <c r="O9" s="538">
        <f>ECLIPSE!R40</f>
        <v>0</v>
      </c>
      <c r="P9" s="166">
        <f>ECLIPSE!S40</f>
        <v>0</v>
      </c>
      <c r="Q9" s="539">
        <f>ECLIPSE!T40</f>
        <v>0</v>
      </c>
      <c r="R9" s="539">
        <f>ECLIPSE!U40</f>
        <v>0</v>
      </c>
      <c r="S9" s="539">
        <f>ECLIPSE!V40</f>
        <v>0</v>
      </c>
      <c r="T9" s="540">
        <f>ECLIPSE!W40</f>
        <v>0</v>
      </c>
      <c r="V9" s="542" t="s">
        <v>614</v>
      </c>
    </row>
    <row r="10">
      <c r="C10" s="4"/>
      <c r="D10" s="319"/>
      <c r="E10" s="319"/>
      <c r="F10" s="319"/>
      <c r="G10" s="524"/>
      <c r="H10" s="319"/>
      <c r="I10" s="319"/>
      <c r="J10" s="319"/>
      <c r="K10" s="319"/>
      <c r="L10" s="319"/>
      <c r="M10" s="319"/>
      <c r="N10" s="319"/>
      <c r="O10" s="319"/>
      <c r="P10" s="524"/>
      <c r="Q10" s="319"/>
      <c r="R10" s="443"/>
      <c r="S10" s="443"/>
      <c r="T10" s="317"/>
      <c r="V10" s="543" t="s">
        <v>615</v>
      </c>
    </row>
    <row r="11">
      <c r="B11" s="544" t="s">
        <v>84</v>
      </c>
      <c r="C11" s="4"/>
      <c r="D11" s="527">
        <f>TERROR!G12</f>
        <v>0</v>
      </c>
      <c r="E11" s="528">
        <f>TERROR!H12</f>
        <v>0</v>
      </c>
      <c r="F11" s="529">
        <f>TERROR!I12</f>
        <v>0</v>
      </c>
      <c r="G11" s="530">
        <f>TERROR!J12</f>
        <v>0</v>
      </c>
      <c r="H11" s="531">
        <f>TERROR!K12</f>
        <v>0</v>
      </c>
      <c r="I11" s="532">
        <f>TERROR!L12</f>
        <v>0</v>
      </c>
      <c r="J11" s="533">
        <f>TERROR!M12</f>
        <v>0</v>
      </c>
      <c r="K11" s="534">
        <f>TERROR!N12</f>
        <v>0</v>
      </c>
      <c r="L11" s="535">
        <f>TERROR!O12</f>
        <v>0</v>
      </c>
      <c r="M11" s="536">
        <f>TERROR!P12</f>
        <v>0</v>
      </c>
      <c r="N11" s="537">
        <f>TERROR!Q12</f>
        <v>0</v>
      </c>
      <c r="O11" s="538">
        <f>TERROR!R12</f>
        <v>0</v>
      </c>
      <c r="P11" s="166">
        <f>TERROR!S12</f>
        <v>0</v>
      </c>
      <c r="Q11" s="539">
        <f>TERROR!T12</f>
        <v>0</v>
      </c>
      <c r="R11" s="539">
        <f>TERROR!U12</f>
        <v>0</v>
      </c>
      <c r="S11" s="539">
        <f>TERROR!V12</f>
        <v>0</v>
      </c>
      <c r="T11" s="540">
        <f>TERROR!W12</f>
        <v>0</v>
      </c>
      <c r="V11" s="545" t="s">
        <v>616</v>
      </c>
    </row>
    <row r="12">
      <c r="C12" s="4"/>
      <c r="D12" s="319"/>
      <c r="E12" s="319"/>
      <c r="F12" s="319"/>
      <c r="G12" s="319"/>
      <c r="H12" s="319"/>
      <c r="I12" s="319"/>
      <c r="J12" s="319"/>
      <c r="K12" s="319"/>
      <c r="L12" s="319"/>
      <c r="M12" s="319"/>
      <c r="N12" s="319"/>
      <c r="O12" s="319"/>
      <c r="P12" s="524"/>
      <c r="Q12" s="319"/>
      <c r="R12" s="443"/>
      <c r="S12" s="443"/>
      <c r="T12" s="317"/>
      <c r="V12" s="546" t="s">
        <v>617</v>
      </c>
    </row>
    <row r="13">
      <c r="B13" s="547" t="s">
        <v>201</v>
      </c>
      <c r="C13" s="4"/>
      <c r="D13" s="154">
        <f>FANGS!G16</f>
        <v>0</v>
      </c>
      <c r="E13" s="155">
        <f>FANGS!H16</f>
        <v>0</v>
      </c>
      <c r="F13" s="180">
        <f>FANGS!I16</f>
        <v>0</v>
      </c>
      <c r="G13" s="548">
        <f>FANGS!J16</f>
        <v>0</v>
      </c>
      <c r="H13" s="181">
        <f>FANGS!K16</f>
        <v>0</v>
      </c>
      <c r="I13" s="549">
        <f>FANGS!L16</f>
        <v>0</v>
      </c>
      <c r="J13" s="160">
        <f>FANGS!M16</f>
        <v>0</v>
      </c>
      <c r="K13" s="161">
        <f>FANGS!N16</f>
        <v>0</v>
      </c>
      <c r="L13" s="162">
        <f>FANGS!O16</f>
        <v>0</v>
      </c>
      <c r="M13" s="163">
        <f>FANGS!P16</f>
        <v>0</v>
      </c>
      <c r="N13" s="550">
        <f>FANGS!Q16</f>
        <v>0</v>
      </c>
      <c r="O13" s="551">
        <f>FANGS!R16</f>
        <v>0</v>
      </c>
      <c r="P13" s="552">
        <f>FANGS!S16</f>
        <v>0</v>
      </c>
      <c r="Q13" s="165">
        <f>FANGS!T16</f>
        <v>0</v>
      </c>
      <c r="R13" s="165">
        <f>FANGS!U16</f>
        <v>0</v>
      </c>
      <c r="S13" s="165">
        <f>FANGS!V16</f>
        <v>0</v>
      </c>
      <c r="T13" s="553">
        <f>FANGS!W16</f>
        <v>0</v>
      </c>
      <c r="V13" s="554"/>
    </row>
    <row r="14">
      <c r="B14" s="555"/>
      <c r="C14" s="4"/>
      <c r="D14" s="556"/>
      <c r="E14" s="556"/>
      <c r="F14" s="556"/>
      <c r="G14" s="557"/>
      <c r="H14" s="556"/>
      <c r="I14" s="556"/>
      <c r="J14" s="556"/>
      <c r="K14" s="556"/>
      <c r="L14" s="556"/>
      <c r="M14" s="556"/>
      <c r="N14" s="556"/>
      <c r="O14" s="556"/>
      <c r="P14" s="557"/>
      <c r="Q14" s="319"/>
      <c r="R14" s="443"/>
      <c r="S14" s="443"/>
      <c r="T14" s="317"/>
      <c r="V14" s="554"/>
    </row>
    <row r="15">
      <c r="B15" s="558" t="s">
        <v>99</v>
      </c>
      <c r="C15" s="4"/>
      <c r="D15" s="527">
        <f>COMMAS!G25</f>
        <v>0</v>
      </c>
      <c r="E15" s="528">
        <f>COMMAS!H25</f>
        <v>0</v>
      </c>
      <c r="F15" s="529">
        <f>COMMAS!I25</f>
        <v>0</v>
      </c>
      <c r="G15" s="530">
        <f>COMMAS!J25</f>
        <v>0</v>
      </c>
      <c r="H15" s="531">
        <f>COMMAS!K25</f>
        <v>0</v>
      </c>
      <c r="I15" s="532">
        <f>COMMAS!L25</f>
        <v>0</v>
      </c>
      <c r="J15" s="533">
        <f>COMMAS!M25</f>
        <v>0</v>
      </c>
      <c r="K15" s="534">
        <f>COMMAS!N25</f>
        <v>0</v>
      </c>
      <c r="L15" s="535">
        <f>COMMAS!O25</f>
        <v>0</v>
      </c>
      <c r="M15" s="536">
        <f>COMMAS!P25</f>
        <v>0</v>
      </c>
      <c r="N15" s="537">
        <f>COMMAS!Q25</f>
        <v>0</v>
      </c>
      <c r="O15" s="538">
        <f>COMMAS!R25</f>
        <v>0</v>
      </c>
      <c r="P15" s="559">
        <f>COMMAS!S25</f>
        <v>0</v>
      </c>
      <c r="Q15" s="538">
        <f>COMMAS!T25</f>
        <v>0</v>
      </c>
      <c r="R15" s="560">
        <f>COMMAS!U25</f>
        <v>0</v>
      </c>
      <c r="S15" s="560">
        <f>COMMAS!V25</f>
        <v>0</v>
      </c>
      <c r="T15" s="561">
        <f>COMMAS!W25</f>
        <v>0</v>
      </c>
      <c r="V15" s="554" t="s">
        <v>618</v>
      </c>
    </row>
    <row r="16">
      <c r="C16" s="4"/>
      <c r="D16" s="319"/>
      <c r="E16" s="319"/>
      <c r="F16" s="319"/>
      <c r="G16" s="524"/>
      <c r="H16" s="319"/>
      <c r="I16" s="319"/>
      <c r="J16" s="319"/>
      <c r="K16" s="319"/>
      <c r="L16" s="319"/>
      <c r="M16" s="319"/>
      <c r="N16" s="319"/>
      <c r="O16" s="319"/>
      <c r="P16" s="524"/>
      <c r="Q16" s="319"/>
      <c r="R16" s="443"/>
      <c r="S16" s="443"/>
      <c r="T16" s="317"/>
      <c r="V16" s="562" t="s">
        <v>619</v>
      </c>
    </row>
    <row r="17">
      <c r="B17" s="547" t="s">
        <v>140</v>
      </c>
      <c r="D17" s="527">
        <f>DRIFTS!G35</f>
        <v>0</v>
      </c>
      <c r="E17" s="528">
        <f>DRIFTS!H35</f>
        <v>0</v>
      </c>
      <c r="F17" s="529">
        <f>DRIFTS!I35</f>
        <v>0</v>
      </c>
      <c r="G17" s="530">
        <f>DRIFTS!J35</f>
        <v>0</v>
      </c>
      <c r="H17" s="531">
        <f>DRIFTS!K35</f>
        <v>0</v>
      </c>
      <c r="I17" s="532">
        <f>DRIFTS!L35</f>
        <v>0</v>
      </c>
      <c r="J17" s="533">
        <f>DRIFTS!M35</f>
        <v>0</v>
      </c>
      <c r="K17" s="534">
        <f>DRIFTS!N35</f>
        <v>0</v>
      </c>
      <c r="L17" s="535">
        <f>DRIFTS!O35</f>
        <v>0</v>
      </c>
      <c r="M17" s="536">
        <f>DRIFTS!P35</f>
        <v>0</v>
      </c>
      <c r="N17" s="537">
        <f>DRIFTS!Q35</f>
        <v>0</v>
      </c>
      <c r="O17" s="538">
        <f>DRIFTS!R35</f>
        <v>0</v>
      </c>
      <c r="P17" s="166">
        <f>DRIFTS!S35</f>
        <v>0</v>
      </c>
      <c r="Q17" s="539">
        <f>DRIFTS!T35</f>
        <v>0</v>
      </c>
      <c r="R17" s="539">
        <f>DRIFTS!U35</f>
        <v>0</v>
      </c>
      <c r="S17" s="539">
        <f>DRIFTS!V35</f>
        <v>0</v>
      </c>
      <c r="T17" s="540">
        <f>DRIFTS!W35</f>
        <v>0</v>
      </c>
      <c r="V17" s="563" t="s">
        <v>620</v>
      </c>
    </row>
    <row r="18">
      <c r="C18" s="4"/>
      <c r="D18" s="319"/>
      <c r="E18" s="319"/>
      <c r="F18" s="319"/>
      <c r="G18" s="524"/>
      <c r="H18" s="319"/>
      <c r="I18" s="319"/>
      <c r="J18" s="319"/>
      <c r="K18" s="319"/>
      <c r="L18" s="319"/>
      <c r="M18" s="319"/>
      <c r="N18" s="319"/>
      <c r="O18" s="319"/>
      <c r="P18" s="524"/>
      <c r="Q18" s="319"/>
      <c r="R18" s="443"/>
      <c r="S18" s="443"/>
      <c r="T18" s="317"/>
      <c r="V18" s="564" t="s">
        <v>621</v>
      </c>
    </row>
    <row r="19">
      <c r="B19" s="565" t="s">
        <v>222</v>
      </c>
      <c r="D19" s="527">
        <f>LOAVES!G29</f>
        <v>0</v>
      </c>
      <c r="E19" s="528">
        <f>LOAVES!H29</f>
        <v>0</v>
      </c>
      <c r="F19" s="529">
        <f>LOAVES!I29</f>
        <v>0</v>
      </c>
      <c r="G19" s="530">
        <f>LOAVES!J29</f>
        <v>0</v>
      </c>
      <c r="H19" s="531">
        <f>LOAVES!K29</f>
        <v>0</v>
      </c>
      <c r="I19" s="532">
        <f>LOAVES!L29</f>
        <v>0</v>
      </c>
      <c r="J19" s="533">
        <f>LOAVES!M29</f>
        <v>0</v>
      </c>
      <c r="K19" s="534">
        <f>LOAVES!N29</f>
        <v>0</v>
      </c>
      <c r="L19" s="535">
        <f>LOAVES!O29</f>
        <v>0</v>
      </c>
      <c r="M19" s="536">
        <f>LOAVES!P29</f>
        <v>0</v>
      </c>
      <c r="N19" s="537">
        <f>LOAVES!Q29</f>
        <v>0</v>
      </c>
      <c r="O19" s="538">
        <f>LOAVES!R29</f>
        <v>0</v>
      </c>
      <c r="P19" s="166">
        <f>LOAVES!S29</f>
        <v>0</v>
      </c>
      <c r="Q19" s="539">
        <f>LOAVES!T29</f>
        <v>0</v>
      </c>
      <c r="R19" s="539">
        <f>LOAVES!U29</f>
        <v>0</v>
      </c>
      <c r="S19" s="539">
        <f>LOAVES!V29</f>
        <v>0</v>
      </c>
      <c r="T19" s="540">
        <f>LOAVES!W29</f>
        <v>0</v>
      </c>
      <c r="V19" s="566" t="s">
        <v>622</v>
      </c>
    </row>
    <row r="20">
      <c r="C20" s="4"/>
      <c r="D20" s="319"/>
      <c r="E20" s="319"/>
      <c r="F20" s="319"/>
      <c r="G20" s="524"/>
      <c r="H20" s="319"/>
      <c r="I20" s="319"/>
      <c r="J20" s="319"/>
      <c r="K20" s="319"/>
      <c r="L20" s="319"/>
      <c r="M20" s="319"/>
      <c r="N20" s="319"/>
      <c r="O20" s="319"/>
      <c r="P20" s="524"/>
      <c r="Q20" s="319"/>
      <c r="R20" s="443"/>
      <c r="S20" s="443"/>
      <c r="T20" s="317"/>
      <c r="V20" s="567" t="s">
        <v>623</v>
      </c>
    </row>
    <row r="21" ht="15.75" customHeight="1">
      <c r="B21" s="558" t="s">
        <v>269</v>
      </c>
      <c r="D21" s="527">
        <f>ROUGHLINE!G36</f>
        <v>0</v>
      </c>
      <c r="E21" s="528">
        <f>ROUGHLINE!H36</f>
        <v>0</v>
      </c>
      <c r="F21" s="529">
        <f>ROUGHLINE!I36</f>
        <v>0</v>
      </c>
      <c r="G21" s="530">
        <f>ROUGHLINE!J36</f>
        <v>0</v>
      </c>
      <c r="H21" s="531">
        <f>ROUGHLINE!K36</f>
        <v>0</v>
      </c>
      <c r="I21" s="532">
        <f>ROUGHLINE!L36</f>
        <v>0</v>
      </c>
      <c r="J21" s="533">
        <f>ROUGHLINE!M36</f>
        <v>0</v>
      </c>
      <c r="K21" s="534">
        <f>ROUGHLINE!N36</f>
        <v>0</v>
      </c>
      <c r="L21" s="535">
        <f>ROUGHLINE!O36</f>
        <v>0</v>
      </c>
      <c r="M21" s="536">
        <f>ROUGHLINE!P36</f>
        <v>0</v>
      </c>
      <c r="N21" s="537">
        <f>ROUGHLINE!Q36</f>
        <v>0</v>
      </c>
      <c r="O21" s="538">
        <f>ROUGHLINE!R36</f>
        <v>0</v>
      </c>
      <c r="P21" s="166">
        <f>ROUGHLINE!S36</f>
        <v>0</v>
      </c>
      <c r="Q21" s="539">
        <f>ROUGHLINE!T36</f>
        <v>0</v>
      </c>
      <c r="R21" s="539">
        <f>ROUGHLINE!U36</f>
        <v>0</v>
      </c>
      <c r="S21" s="539">
        <f>ROUGHLINE!V36</f>
        <v>0</v>
      </c>
      <c r="T21" s="540">
        <f>ROUGHLINE!W36</f>
        <v>0</v>
      </c>
      <c r="V21" s="568" t="s">
        <v>624</v>
      </c>
    </row>
    <row r="22" ht="15.75" customHeight="1">
      <c r="C22" s="4"/>
      <c r="D22" s="319"/>
      <c r="E22" s="319"/>
      <c r="F22" s="319"/>
      <c r="G22" s="524"/>
      <c r="H22" s="319"/>
      <c r="I22" s="319"/>
      <c r="J22" s="319"/>
      <c r="K22" s="319"/>
      <c r="L22" s="319"/>
      <c r="M22" s="319"/>
      <c r="N22" s="319"/>
      <c r="O22" s="319"/>
      <c r="P22" s="524"/>
      <c r="Q22" s="319"/>
      <c r="R22" s="443"/>
      <c r="S22" s="443"/>
      <c r="T22" s="317"/>
      <c r="V22" s="82" t="s">
        <v>625</v>
      </c>
    </row>
    <row r="23" ht="15.75" customHeight="1">
      <c r="B23" s="569" t="s">
        <v>626</v>
      </c>
      <c r="D23" s="527">
        <f>SMOOTHLINE!G19</f>
        <v>0</v>
      </c>
      <c r="E23" s="528">
        <f>SMOOTHLINE!H19</f>
        <v>0</v>
      </c>
      <c r="F23" s="529">
        <f>SMOOTHLINE!I19</f>
        <v>0</v>
      </c>
      <c r="G23" s="530">
        <f>SMOOTHLINE!J19</f>
        <v>0</v>
      </c>
      <c r="H23" s="531">
        <f>SMOOTHLINE!K19</f>
        <v>0</v>
      </c>
      <c r="I23" s="532">
        <f>SMOOTHLINE!L19</f>
        <v>0</v>
      </c>
      <c r="J23" s="533">
        <f>SMOOTHLINE!M19</f>
        <v>0</v>
      </c>
      <c r="K23" s="534">
        <f>SMOOTHLINE!N19</f>
        <v>0</v>
      </c>
      <c r="L23" s="535">
        <f>SMOOTHLINE!O19</f>
        <v>0</v>
      </c>
      <c r="M23" s="536">
        <f>SMOOTHLINE!P19</f>
        <v>0</v>
      </c>
      <c r="N23" s="537">
        <f>SMOOTHLINE!Q19</f>
        <v>0</v>
      </c>
      <c r="O23" s="538">
        <f>SMOOTHLINE!R19</f>
        <v>0</v>
      </c>
      <c r="P23" s="166">
        <f>SMOOTHLINE!S19</f>
        <v>0</v>
      </c>
      <c r="Q23" s="539">
        <f>SMOOTHLINE!T19</f>
        <v>0</v>
      </c>
      <c r="R23" s="539">
        <f>SMOOTHLINE!U19</f>
        <v>0</v>
      </c>
      <c r="S23" s="539">
        <f>SMOOTHLINE!V19</f>
        <v>0</v>
      </c>
      <c r="T23" s="540">
        <f>SMOOTHLINE!W19</f>
        <v>0</v>
      </c>
      <c r="V23" s="570" t="s">
        <v>627</v>
      </c>
    </row>
    <row r="24" ht="15.75" customHeight="1">
      <c r="C24" s="4"/>
      <c r="D24" s="319"/>
      <c r="E24" s="319"/>
      <c r="F24" s="319"/>
      <c r="G24" s="524"/>
      <c r="H24" s="319"/>
      <c r="I24" s="319"/>
      <c r="J24" s="319"/>
      <c r="K24" s="319"/>
      <c r="L24" s="319"/>
      <c r="M24" s="319"/>
      <c r="N24" s="319"/>
      <c r="O24" s="319"/>
      <c r="P24" s="524"/>
      <c r="Q24" s="319"/>
      <c r="R24" s="443"/>
      <c r="S24" s="443"/>
      <c r="T24" s="317"/>
    </row>
    <row r="25" ht="15.75" customHeight="1">
      <c r="B25" s="569" t="s">
        <v>628</v>
      </c>
      <c r="D25" s="527">
        <f>SMOOTHLINE!G55</f>
        <v>0</v>
      </c>
      <c r="E25" s="528">
        <f>SMOOTHLINE!H55</f>
        <v>0</v>
      </c>
      <c r="F25" s="529">
        <f>SMOOTHLINE!I55</f>
        <v>0</v>
      </c>
      <c r="G25" s="530">
        <f>SMOOTHLINE!J55</f>
        <v>0</v>
      </c>
      <c r="H25" s="531">
        <f>SMOOTHLINE!K55</f>
        <v>0</v>
      </c>
      <c r="I25" s="532">
        <f>SMOOTHLINE!L55</f>
        <v>0</v>
      </c>
      <c r="J25" s="533">
        <f>SMOOTHLINE!M55</f>
        <v>0</v>
      </c>
      <c r="K25" s="534">
        <f>SMOOTHLINE!N55</f>
        <v>0</v>
      </c>
      <c r="L25" s="535">
        <f>SMOOTHLINE!O55</f>
        <v>0</v>
      </c>
      <c r="M25" s="536">
        <f>SMOOTHLINE!P55</f>
        <v>0</v>
      </c>
      <c r="N25" s="537">
        <f>SMOOTHLINE!Q55</f>
        <v>0</v>
      </c>
      <c r="O25" s="538">
        <f>SMOOTHLINE!R55</f>
        <v>0</v>
      </c>
      <c r="P25" s="166">
        <f>SMOOTHLINE!S55</f>
        <v>0</v>
      </c>
      <c r="Q25" s="539">
        <f>SMOOTHLINE!T55</f>
        <v>0</v>
      </c>
      <c r="R25" s="539">
        <f>SMOOTHLINE!U55</f>
        <v>0</v>
      </c>
      <c r="S25" s="539">
        <f>SMOOTHLINE!V55</f>
        <v>0</v>
      </c>
      <c r="T25" s="540">
        <f>SMOOTHLINE!W55</f>
        <v>0</v>
      </c>
    </row>
    <row r="26" ht="15.75" customHeight="1">
      <c r="B26" s="571"/>
      <c r="D26" s="319"/>
      <c r="E26" s="319"/>
      <c r="F26" s="319"/>
      <c r="G26" s="524"/>
      <c r="H26" s="319"/>
      <c r="I26" s="319"/>
      <c r="J26" s="319"/>
      <c r="K26" s="319"/>
      <c r="L26" s="319"/>
      <c r="M26" s="319"/>
      <c r="N26" s="319"/>
      <c r="O26" s="319"/>
      <c r="P26" s="524"/>
      <c r="Q26" s="443"/>
      <c r="R26" s="443"/>
      <c r="S26" s="443"/>
      <c r="T26" s="317"/>
      <c r="V26" s="42"/>
    </row>
    <row r="27" ht="15.75" customHeight="1">
      <c r="B27" s="572" t="s">
        <v>629</v>
      </c>
      <c r="D27" s="154">
        <f>'Fiber Full text'!H48</f>
        <v>0</v>
      </c>
      <c r="E27" s="528">
        <f>'Fiber Full text'!I48</f>
        <v>0</v>
      </c>
      <c r="F27" s="529">
        <f>'Fiber Full text'!J48</f>
        <v>0</v>
      </c>
      <c r="G27" s="530">
        <f>'Fiber Full text'!K48</f>
        <v>0</v>
      </c>
      <c r="H27" s="531">
        <f>'Fiber Full text'!L48</f>
        <v>0</v>
      </c>
      <c r="I27" s="532">
        <f>'Fiber Full text'!M48</f>
        <v>0</v>
      </c>
      <c r="J27" s="533">
        <f>'Fiber Full text'!N48</f>
        <v>0</v>
      </c>
      <c r="K27" s="534">
        <f>'Fiber Full text'!O48</f>
        <v>0</v>
      </c>
      <c r="L27" s="165" t="s">
        <v>630</v>
      </c>
      <c r="M27" s="165" t="s">
        <v>630</v>
      </c>
      <c r="N27" s="537">
        <f>'Fiber Full text'!R48</f>
        <v>0</v>
      </c>
      <c r="O27" s="538">
        <f>'Fiber Full text'!S48</f>
        <v>0</v>
      </c>
      <c r="P27" s="573">
        <f>'Fiber Full text'!T48</f>
        <v>0</v>
      </c>
      <c r="Q27" s="539">
        <f>'Fiber Full text'!S48</f>
        <v>0</v>
      </c>
      <c r="R27" s="539">
        <f>'Fiber Full text'!S48</f>
        <v>0</v>
      </c>
      <c r="S27" s="539" t="str">
        <f>'Fiber Full text'!W48</f>
        <v/>
      </c>
      <c r="T27" s="540">
        <f>'Fiber Full text'!U48</f>
        <v>0</v>
      </c>
      <c r="V27" s="42"/>
    </row>
    <row r="28" ht="15.75" customHeight="1">
      <c r="B28" s="571"/>
      <c r="C28" s="4"/>
      <c r="D28" s="319"/>
      <c r="E28" s="319"/>
      <c r="F28" s="319"/>
      <c r="G28" s="524"/>
      <c r="H28" s="319"/>
      <c r="I28" s="319"/>
      <c r="J28" s="319"/>
      <c r="K28" s="319"/>
      <c r="L28" s="319"/>
      <c r="M28" s="319"/>
      <c r="N28" s="319"/>
      <c r="O28" s="319"/>
      <c r="P28" s="524"/>
      <c r="Q28" s="443"/>
      <c r="R28" s="443"/>
      <c r="S28" s="443"/>
      <c r="T28" s="317"/>
    </row>
    <row r="29" ht="15.75" customHeight="1">
      <c r="B29" s="574" t="s">
        <v>631</v>
      </c>
      <c r="D29" s="154">
        <f>'Fiber DT COMMAS'!H42</f>
        <v>0</v>
      </c>
      <c r="E29" s="155">
        <f>'Fiber DT COMMAS'!I42</f>
        <v>0</v>
      </c>
      <c r="F29" s="575">
        <f>'Fiber DT COMMAS'!J42</f>
        <v>0</v>
      </c>
      <c r="G29" s="157">
        <f>'Fiber DT COMMAS'!K42</f>
        <v>0</v>
      </c>
      <c r="H29" s="576">
        <f>'Fiber DT COMMAS'!L42</f>
        <v>0</v>
      </c>
      <c r="I29" s="159">
        <f>'Fiber DT COMMAS'!M42</f>
        <v>0</v>
      </c>
      <c r="J29" s="160">
        <f>'Fiber DT COMMAS'!N42</f>
        <v>0</v>
      </c>
      <c r="K29" s="161">
        <f>'Fiber DT COMMAS'!O42</f>
        <v>0</v>
      </c>
      <c r="L29" s="165" t="s">
        <v>630</v>
      </c>
      <c r="M29" s="165" t="s">
        <v>630</v>
      </c>
      <c r="N29" s="164">
        <f>'Fiber DT COMMAS'!Q42</f>
        <v>0</v>
      </c>
      <c r="O29" s="165">
        <f>'Fiber DT COMMAS'!R42</f>
        <v>0</v>
      </c>
      <c r="P29" s="166">
        <f>'Fiber DT COMMAS'!P42</f>
        <v>0</v>
      </c>
      <c r="Q29" s="165">
        <f>'Fiber DT COMMAS'!S42</f>
        <v>0</v>
      </c>
      <c r="R29" s="165">
        <f>'Fiber DT COMMAS'!S42</f>
        <v>0</v>
      </c>
      <c r="S29" s="165">
        <f>'Fiber DT COMMAS'!T42</f>
        <v>0</v>
      </c>
      <c r="T29" s="577">
        <f>'Fiber DT COMMAS'!U42</f>
        <v>0</v>
      </c>
    </row>
    <row r="30" ht="15.75" customHeight="1">
      <c r="C30" s="4"/>
      <c r="D30" s="319"/>
      <c r="E30" s="319"/>
      <c r="F30" s="319"/>
      <c r="G30" s="524"/>
      <c r="H30" s="319"/>
      <c r="I30" s="319"/>
      <c r="J30" s="319"/>
      <c r="K30" s="319"/>
      <c r="L30" s="319"/>
      <c r="M30" s="319"/>
      <c r="N30" s="319"/>
      <c r="O30" s="319"/>
      <c r="P30" s="524"/>
      <c r="Q30" s="319"/>
      <c r="R30" s="443"/>
      <c r="S30" s="443"/>
      <c r="T30" s="317"/>
    </row>
    <row r="31" ht="15.75" customHeight="1">
      <c r="B31" s="574" t="s">
        <v>632</v>
      </c>
      <c r="D31" s="527">
        <f t="shared" ref="D31:P31" si="1">SUM(D7:D25)</f>
        <v>0</v>
      </c>
      <c r="E31" s="528">
        <f t="shared" si="1"/>
        <v>0</v>
      </c>
      <c r="F31" s="529">
        <f t="shared" si="1"/>
        <v>0</v>
      </c>
      <c r="G31" s="530">
        <f t="shared" si="1"/>
        <v>0</v>
      </c>
      <c r="H31" s="531">
        <f t="shared" si="1"/>
        <v>0</v>
      </c>
      <c r="I31" s="532">
        <f t="shared" si="1"/>
        <v>0</v>
      </c>
      <c r="J31" s="533">
        <f t="shared" si="1"/>
        <v>0</v>
      </c>
      <c r="K31" s="534">
        <f t="shared" si="1"/>
        <v>0</v>
      </c>
      <c r="L31" s="535">
        <f t="shared" si="1"/>
        <v>0</v>
      </c>
      <c r="M31" s="536">
        <f t="shared" si="1"/>
        <v>0</v>
      </c>
      <c r="N31" s="537">
        <f t="shared" si="1"/>
        <v>0</v>
      </c>
      <c r="O31" s="538">
        <f t="shared" si="1"/>
        <v>0</v>
      </c>
      <c r="P31" s="578">
        <f t="shared" si="1"/>
        <v>0</v>
      </c>
      <c r="Q31" s="443"/>
      <c r="R31" s="443"/>
      <c r="S31" s="443"/>
      <c r="T31" s="317"/>
    </row>
    <row r="32" ht="15.75" customHeight="1">
      <c r="G32" s="318"/>
      <c r="T32" s="1"/>
    </row>
    <row r="33" ht="15.75" customHeight="1">
      <c r="B33" s="579" t="s">
        <v>633</v>
      </c>
      <c r="D33" s="580" t="s">
        <v>634</v>
      </c>
      <c r="E33" s="519"/>
      <c r="F33" s="520"/>
      <c r="G33" s="581"/>
      <c r="H33" s="519"/>
      <c r="I33" s="519"/>
      <c r="J33" s="519"/>
      <c r="K33" s="519"/>
      <c r="L33" s="519"/>
      <c r="M33" s="520"/>
      <c r="O33" s="582" t="s">
        <v>635</v>
      </c>
      <c r="P33" s="583"/>
      <c r="Q33" s="484">
        <f>SUM(Q7:Q29)</f>
        <v>0</v>
      </c>
      <c r="T33" s="1"/>
    </row>
    <row r="34" ht="15.75" customHeight="1">
      <c r="D34" s="580" t="s">
        <v>636</v>
      </c>
      <c r="E34" s="519"/>
      <c r="F34" s="520"/>
      <c r="G34" s="581"/>
      <c r="H34" s="519"/>
      <c r="I34" s="519"/>
      <c r="J34" s="519"/>
      <c r="K34" s="519"/>
      <c r="L34" s="519"/>
      <c r="M34" s="520"/>
      <c r="O34" s="584" t="s">
        <v>637</v>
      </c>
      <c r="P34" s="498"/>
      <c r="Q34" s="484"/>
      <c r="R34" s="484">
        <f>SUM(R7:R29)</f>
        <v>0</v>
      </c>
      <c r="T34" s="1"/>
    </row>
    <row r="35" ht="15.75" customHeight="1">
      <c r="D35" s="19"/>
      <c r="E35" s="19"/>
      <c r="F35" s="19"/>
      <c r="G35" s="581"/>
      <c r="H35" s="519"/>
      <c r="I35" s="519"/>
      <c r="J35" s="519"/>
      <c r="K35" s="519"/>
      <c r="L35" s="519"/>
      <c r="M35" s="520"/>
      <c r="O35" s="585" t="s">
        <v>638</v>
      </c>
      <c r="P35" s="586"/>
      <c r="Q35" s="484"/>
      <c r="R35" s="484"/>
      <c r="S35" s="484">
        <f>SUM(S7:S29)</f>
        <v>0</v>
      </c>
      <c r="T35" s="1"/>
    </row>
    <row r="36" ht="15.75" customHeight="1">
      <c r="D36" s="19"/>
      <c r="E36" s="19"/>
      <c r="F36" s="19"/>
      <c r="G36" s="581"/>
      <c r="H36" s="519"/>
      <c r="I36" s="519"/>
      <c r="J36" s="519"/>
      <c r="K36" s="519"/>
      <c r="L36" s="519"/>
      <c r="M36" s="520"/>
      <c r="O36" s="587" t="s">
        <v>639</v>
      </c>
      <c r="P36" s="588"/>
      <c r="Q36" s="589"/>
      <c r="R36" s="589"/>
      <c r="S36" s="590">
        <f>SUM(T7:T29)</f>
        <v>0</v>
      </c>
      <c r="T36" s="520"/>
    </row>
    <row r="37" ht="15.75" customHeight="1">
      <c r="D37" s="19"/>
      <c r="E37" s="19"/>
      <c r="F37" s="19"/>
      <c r="G37" s="581"/>
      <c r="H37" s="519"/>
      <c r="I37" s="519"/>
      <c r="J37" s="519"/>
      <c r="K37" s="519"/>
      <c r="L37" s="519"/>
      <c r="M37" s="520"/>
      <c r="O37" s="591" t="s">
        <v>640</v>
      </c>
      <c r="P37" s="519"/>
      <c r="Q37" s="592"/>
      <c r="R37" s="498"/>
      <c r="S37" s="590">
        <f>S36*Q37</f>
        <v>0</v>
      </c>
      <c r="T37" s="520"/>
    </row>
    <row r="38" ht="15.75" customHeight="1">
      <c r="D38" s="580" t="s">
        <v>641</v>
      </c>
      <c r="E38" s="519"/>
      <c r="F38" s="520"/>
      <c r="G38" s="581"/>
      <c r="H38" s="519"/>
      <c r="I38" s="519"/>
      <c r="J38" s="519"/>
      <c r="K38" s="519"/>
      <c r="L38" s="519"/>
      <c r="M38" s="520"/>
      <c r="O38" s="591" t="s">
        <v>642</v>
      </c>
      <c r="P38" s="519"/>
      <c r="Q38" s="592"/>
      <c r="R38" s="498"/>
      <c r="S38" s="590">
        <f>(S36+S37)*Q38</f>
        <v>0</v>
      </c>
      <c r="T38" s="520"/>
    </row>
    <row r="39" ht="15.75" customHeight="1">
      <c r="D39" s="580" t="s">
        <v>643</v>
      </c>
      <c r="E39" s="519"/>
      <c r="F39" s="520"/>
      <c r="G39" s="593"/>
      <c r="M39" s="594"/>
      <c r="O39" s="595" t="s">
        <v>644</v>
      </c>
      <c r="P39" s="519"/>
      <c r="Q39" s="519"/>
      <c r="R39" s="596"/>
      <c r="S39" s="590">
        <f>S36+S38</f>
        <v>0</v>
      </c>
      <c r="T39" s="520"/>
    </row>
    <row r="40" ht="15.75" customHeight="1">
      <c r="D40" s="580" t="s">
        <v>645</v>
      </c>
      <c r="E40" s="519"/>
      <c r="F40" s="520"/>
      <c r="G40" s="581"/>
      <c r="H40" s="519"/>
      <c r="I40" s="519"/>
      <c r="J40" s="519"/>
      <c r="K40" s="519"/>
      <c r="L40" s="519"/>
      <c r="M40" s="520"/>
      <c r="T40" s="1"/>
    </row>
    <row r="41" ht="15.75" customHeight="1">
      <c r="D41" s="580" t="s">
        <v>646</v>
      </c>
      <c r="E41" s="519"/>
      <c r="F41" s="520"/>
      <c r="G41" s="597"/>
      <c r="H41" s="598"/>
      <c r="I41" s="598"/>
      <c r="J41" s="598"/>
      <c r="K41" s="598"/>
      <c r="L41" s="598"/>
      <c r="M41" s="599"/>
      <c r="T41" s="1"/>
    </row>
    <row r="42" ht="15.75" customHeight="1">
      <c r="D42" s="581" t="s">
        <v>647</v>
      </c>
      <c r="E42" s="519"/>
      <c r="F42" s="520"/>
      <c r="G42" s="581"/>
      <c r="H42" s="519"/>
      <c r="I42" s="519"/>
      <c r="J42" s="519"/>
      <c r="K42" s="519"/>
      <c r="L42" s="519"/>
      <c r="M42" s="520"/>
      <c r="T42" s="1"/>
    </row>
    <row r="43" ht="15.75" customHeight="1">
      <c r="T43" s="1"/>
    </row>
    <row r="44" ht="15.75" customHeight="1">
      <c r="T44" s="1"/>
    </row>
    <row r="45" ht="15.75" customHeight="1">
      <c r="T45" s="1"/>
    </row>
    <row r="46" ht="15.75" customHeight="1">
      <c r="T46" s="1"/>
    </row>
    <row r="47" ht="15.75" customHeight="1">
      <c r="T47" s="1"/>
    </row>
    <row r="48" ht="15.75" customHeight="1">
      <c r="T48" s="1"/>
    </row>
    <row r="49" ht="15.75" customHeight="1">
      <c r="T49" s="1"/>
    </row>
    <row r="50" ht="15.75" customHeight="1">
      <c r="T50" s="1"/>
    </row>
    <row r="51" ht="15.75" customHeight="1">
      <c r="T51" s="1"/>
    </row>
    <row r="52" ht="15.75" customHeight="1">
      <c r="T52" s="1"/>
    </row>
    <row r="53" ht="15.75" customHeight="1">
      <c r="T53" s="1"/>
    </row>
    <row r="54" ht="15.75" customHeight="1">
      <c r="T54" s="1"/>
    </row>
    <row r="55" ht="15.75" customHeight="1">
      <c r="T55" s="1"/>
    </row>
    <row r="56" ht="15.75" customHeight="1">
      <c r="T56" s="1"/>
    </row>
    <row r="57" ht="15.75" customHeight="1">
      <c r="T57" s="1"/>
    </row>
    <row r="58" ht="15.75" customHeight="1">
      <c r="T58" s="1"/>
    </row>
    <row r="59" ht="15.75" customHeight="1">
      <c r="T59" s="1"/>
    </row>
    <row r="60" ht="15.75" customHeight="1">
      <c r="T60" s="1"/>
    </row>
    <row r="61" ht="15.75" customHeight="1">
      <c r="T61" s="1"/>
    </row>
    <row r="62" ht="15.75" customHeight="1">
      <c r="T62" s="1"/>
    </row>
    <row r="63" ht="15.75" customHeight="1">
      <c r="T63" s="1"/>
    </row>
    <row r="64" ht="15.75" customHeight="1">
      <c r="T64" s="1"/>
    </row>
    <row r="65" ht="15.75" customHeight="1">
      <c r="T65" s="1"/>
    </row>
    <row r="66" ht="15.75" customHeight="1">
      <c r="T66" s="1"/>
    </row>
    <row r="67" ht="15.75" customHeight="1">
      <c r="T67" s="1"/>
    </row>
    <row r="68" ht="15.75" customHeight="1">
      <c r="T68" s="1"/>
    </row>
    <row r="69" ht="15.75" customHeight="1">
      <c r="T69" s="1"/>
    </row>
    <row r="70" ht="15.75" customHeight="1">
      <c r="T70" s="1"/>
    </row>
    <row r="71" ht="15.75" customHeight="1">
      <c r="T71" s="1"/>
    </row>
    <row r="72" ht="15.75" customHeight="1">
      <c r="T72" s="1"/>
    </row>
    <row r="73" ht="15.75" customHeight="1">
      <c r="T73" s="1"/>
    </row>
    <row r="74" ht="15.75" customHeight="1">
      <c r="T74" s="1"/>
    </row>
    <row r="75" ht="15.75" customHeight="1">
      <c r="T75" s="1"/>
    </row>
    <row r="76" ht="15.75" customHeight="1">
      <c r="T76" s="1"/>
    </row>
    <row r="77" ht="15.75" customHeight="1">
      <c r="T77" s="1"/>
    </row>
    <row r="78" ht="15.75" customHeight="1">
      <c r="T78" s="1"/>
    </row>
    <row r="79" ht="15.75" customHeight="1">
      <c r="T79" s="1"/>
    </row>
    <row r="80" ht="15.75" customHeight="1">
      <c r="T80" s="1"/>
    </row>
    <row r="81" ht="15.75" customHeight="1">
      <c r="T81" s="1"/>
    </row>
    <row r="82" ht="15.75" customHeight="1">
      <c r="T82" s="1"/>
    </row>
    <row r="83" ht="15.75" customHeight="1">
      <c r="T83" s="1"/>
    </row>
    <row r="84" ht="15.75" customHeight="1">
      <c r="T84" s="1"/>
    </row>
    <row r="85" ht="15.75" customHeight="1">
      <c r="T85" s="1"/>
    </row>
    <row r="86" ht="15.75" customHeight="1">
      <c r="T86" s="1"/>
    </row>
    <row r="87" ht="15.75" customHeight="1">
      <c r="T87" s="1"/>
    </row>
    <row r="88" ht="15.75" customHeight="1">
      <c r="T88" s="1"/>
    </row>
    <row r="89" ht="15.75" customHeight="1">
      <c r="T89" s="1"/>
    </row>
    <row r="90" ht="15.75" customHeight="1">
      <c r="T90" s="1"/>
    </row>
    <row r="91" ht="15.75" customHeight="1">
      <c r="T91" s="1"/>
    </row>
    <row r="92" ht="15.75" customHeight="1">
      <c r="T92" s="1"/>
    </row>
    <row r="93" ht="15.75" customHeight="1">
      <c r="T93" s="1"/>
    </row>
    <row r="94" ht="15.75" customHeight="1">
      <c r="T94" s="1"/>
    </row>
    <row r="95" ht="15.75" customHeight="1">
      <c r="T95" s="1"/>
    </row>
    <row r="96" ht="15.75" customHeight="1">
      <c r="T96" s="1"/>
    </row>
    <row r="97" ht="15.75" customHeight="1">
      <c r="T97" s="1"/>
    </row>
    <row r="98" ht="15.75" customHeight="1">
      <c r="T98" s="1"/>
    </row>
    <row r="99" ht="15.75" customHeight="1">
      <c r="T99" s="1"/>
    </row>
    <row r="100" ht="15.75" customHeight="1">
      <c r="T100" s="1"/>
    </row>
    <row r="101" ht="15.75" customHeight="1">
      <c r="T101" s="1"/>
    </row>
    <row r="102" ht="15.75" customHeight="1">
      <c r="T102" s="1"/>
    </row>
    <row r="103" ht="15.75" customHeight="1">
      <c r="T103" s="1"/>
    </row>
    <row r="104" ht="15.75" customHeight="1">
      <c r="T104" s="1"/>
    </row>
    <row r="105" ht="15.75" customHeight="1">
      <c r="T105" s="1"/>
    </row>
    <row r="106" ht="15.75" customHeight="1">
      <c r="T106" s="1"/>
    </row>
    <row r="107" ht="15.75" customHeight="1">
      <c r="T107" s="1"/>
    </row>
    <row r="108" ht="15.75" customHeight="1">
      <c r="T108" s="1"/>
    </row>
    <row r="109" ht="15.75" customHeight="1">
      <c r="T109" s="1"/>
    </row>
    <row r="110" ht="15.75" customHeight="1">
      <c r="T110" s="1"/>
    </row>
    <row r="111" ht="15.75" customHeight="1">
      <c r="T111" s="1"/>
    </row>
    <row r="112" ht="15.75" customHeight="1">
      <c r="T112" s="1"/>
    </row>
    <row r="113" ht="15.75" customHeight="1">
      <c r="T113" s="1"/>
    </row>
    <row r="114" ht="15.75" customHeight="1">
      <c r="T114" s="1"/>
    </row>
    <row r="115" ht="15.75" customHeight="1">
      <c r="T115" s="1"/>
    </row>
    <row r="116" ht="15.75" customHeight="1">
      <c r="T116" s="1"/>
    </row>
    <row r="117" ht="15.75" customHeight="1">
      <c r="T117" s="1"/>
    </row>
    <row r="118" ht="15.75" customHeight="1">
      <c r="T118" s="1"/>
    </row>
    <row r="119" ht="15.75" customHeight="1">
      <c r="T119" s="1"/>
    </row>
    <row r="120" ht="15.75" customHeight="1">
      <c r="T120" s="1"/>
    </row>
    <row r="121" ht="15.75" customHeight="1">
      <c r="T121" s="1"/>
    </row>
    <row r="122" ht="15.75" customHeight="1">
      <c r="T122" s="1"/>
    </row>
    <row r="123" ht="15.75" customHeight="1">
      <c r="T123" s="1"/>
    </row>
    <row r="124" ht="15.75" customHeight="1">
      <c r="T124" s="1"/>
    </row>
    <row r="125" ht="15.75" customHeight="1">
      <c r="T125" s="1"/>
    </row>
    <row r="126" ht="15.75" customHeight="1">
      <c r="T126" s="1"/>
    </row>
    <row r="127" ht="15.75" customHeight="1">
      <c r="T127" s="1"/>
    </row>
    <row r="128" ht="15.75" customHeight="1">
      <c r="T128" s="1"/>
    </row>
    <row r="129" ht="15.75" customHeight="1">
      <c r="T129" s="1"/>
    </row>
    <row r="130" ht="15.75" customHeight="1">
      <c r="T130" s="1"/>
    </row>
    <row r="131" ht="15.75" customHeight="1">
      <c r="T131" s="1"/>
    </row>
    <row r="132" ht="15.75" customHeight="1">
      <c r="T132" s="1"/>
    </row>
    <row r="133" ht="15.75" customHeight="1">
      <c r="T133" s="1"/>
    </row>
    <row r="134" ht="15.75" customHeight="1">
      <c r="T134" s="1"/>
    </row>
    <row r="135" ht="15.75" customHeight="1">
      <c r="T135" s="1"/>
    </row>
    <row r="136" ht="15.75" customHeight="1">
      <c r="T136" s="1"/>
    </row>
    <row r="137" ht="15.75" customHeight="1">
      <c r="T137" s="1"/>
    </row>
    <row r="138" ht="15.75" customHeight="1">
      <c r="T138" s="1"/>
    </row>
    <row r="139" ht="15.75" customHeight="1">
      <c r="T139" s="1"/>
    </row>
    <row r="140" ht="15.75" customHeight="1">
      <c r="T140" s="1"/>
    </row>
    <row r="141" ht="15.75" customHeight="1">
      <c r="T141" s="1"/>
    </row>
    <row r="142" ht="15.75" customHeight="1">
      <c r="T142" s="1"/>
    </row>
    <row r="143" ht="15.75" customHeight="1">
      <c r="T143" s="1"/>
    </row>
    <row r="144" ht="15.75" customHeight="1">
      <c r="T144" s="1"/>
    </row>
    <row r="145" ht="15.75" customHeight="1">
      <c r="T145" s="1"/>
    </row>
    <row r="146" ht="15.75" customHeight="1">
      <c r="T146" s="1"/>
    </row>
    <row r="147" ht="15.75" customHeight="1">
      <c r="T147" s="1"/>
    </row>
    <row r="148" ht="15.75" customHeight="1">
      <c r="T148" s="1"/>
    </row>
    <row r="149" ht="15.75" customHeight="1">
      <c r="T149" s="1"/>
    </row>
    <row r="150" ht="15.75" customHeight="1">
      <c r="T150" s="1"/>
    </row>
    <row r="151" ht="15.75" customHeight="1">
      <c r="T151" s="1"/>
    </row>
    <row r="152" ht="15.75" customHeight="1">
      <c r="T152" s="1"/>
    </row>
    <row r="153" ht="15.75" customHeight="1">
      <c r="T153" s="1"/>
    </row>
    <row r="154" ht="15.75" customHeight="1">
      <c r="T154" s="1"/>
    </row>
    <row r="155" ht="15.75" customHeight="1">
      <c r="T155" s="1"/>
    </row>
    <row r="156" ht="15.75" customHeight="1">
      <c r="T156" s="1"/>
    </row>
    <row r="157" ht="15.75" customHeight="1">
      <c r="T157" s="1"/>
    </row>
    <row r="158" ht="15.75" customHeight="1">
      <c r="T158" s="1"/>
    </row>
    <row r="159" ht="15.75" customHeight="1">
      <c r="T159" s="1"/>
    </row>
    <row r="160" ht="15.75" customHeight="1">
      <c r="T160" s="1"/>
    </row>
    <row r="161" ht="15.75" customHeight="1">
      <c r="T161" s="1"/>
    </row>
    <row r="162" ht="15.75" customHeight="1">
      <c r="T162" s="1"/>
    </row>
    <row r="163" ht="15.75" customHeight="1">
      <c r="T163" s="1"/>
    </row>
    <row r="164" ht="15.75" customHeight="1">
      <c r="T164" s="1"/>
    </row>
    <row r="165" ht="15.75" customHeight="1">
      <c r="T165" s="1"/>
    </row>
    <row r="166" ht="15.75" customHeight="1">
      <c r="T166" s="1"/>
    </row>
    <row r="167" ht="15.75" customHeight="1">
      <c r="T167" s="1"/>
    </row>
    <row r="168" ht="15.75" customHeight="1">
      <c r="T168" s="1"/>
    </row>
    <row r="169" ht="15.75" customHeight="1">
      <c r="T169" s="1"/>
    </row>
    <row r="170" ht="15.75" customHeight="1">
      <c r="T170" s="1"/>
    </row>
    <row r="171" ht="15.75" customHeight="1">
      <c r="T171" s="1"/>
    </row>
    <row r="172" ht="15.75" customHeight="1">
      <c r="T172" s="1"/>
    </row>
    <row r="173" ht="15.75" customHeight="1">
      <c r="T173" s="1"/>
    </row>
    <row r="174" ht="15.75" customHeight="1">
      <c r="T174" s="1"/>
    </row>
    <row r="175" ht="15.75" customHeight="1">
      <c r="T175" s="1"/>
    </row>
    <row r="176" ht="15.75" customHeight="1">
      <c r="T176" s="1"/>
    </row>
    <row r="177" ht="15.75" customHeight="1">
      <c r="T177" s="1"/>
    </row>
    <row r="178" ht="15.75" customHeight="1">
      <c r="T178" s="1"/>
    </row>
    <row r="179" ht="15.75" customHeight="1">
      <c r="T179" s="1"/>
    </row>
    <row r="180" ht="15.75" customHeight="1">
      <c r="T180" s="1"/>
    </row>
    <row r="181" ht="15.75" customHeight="1">
      <c r="T181" s="1"/>
    </row>
    <row r="182" ht="15.75" customHeight="1">
      <c r="T182" s="1"/>
    </row>
    <row r="183" ht="15.75" customHeight="1">
      <c r="T183" s="1"/>
    </row>
    <row r="184" ht="15.75" customHeight="1">
      <c r="T184" s="1"/>
    </row>
    <row r="185" ht="15.75" customHeight="1">
      <c r="T185" s="1"/>
    </row>
    <row r="186" ht="15.75" customHeight="1">
      <c r="T186" s="1"/>
    </row>
    <row r="187" ht="15.75" customHeight="1">
      <c r="T187" s="1"/>
    </row>
    <row r="188" ht="15.75" customHeight="1">
      <c r="T188" s="1"/>
    </row>
    <row r="189" ht="15.75" customHeight="1">
      <c r="T189" s="1"/>
    </row>
    <row r="190" ht="15.75" customHeight="1">
      <c r="T190" s="1"/>
    </row>
    <row r="191" ht="15.75" customHeight="1">
      <c r="T191" s="1"/>
    </row>
    <row r="192" ht="15.75" customHeight="1">
      <c r="T192" s="1"/>
    </row>
    <row r="193" ht="15.75" customHeight="1">
      <c r="T193" s="1"/>
    </row>
    <row r="194" ht="15.75" customHeight="1">
      <c r="T194" s="1"/>
    </row>
    <row r="195" ht="15.75" customHeight="1">
      <c r="T195" s="1"/>
    </row>
    <row r="196" ht="15.75" customHeight="1">
      <c r="T196" s="1"/>
    </row>
    <row r="197" ht="15.75" customHeight="1">
      <c r="T197" s="1"/>
    </row>
    <row r="198" ht="15.75" customHeight="1">
      <c r="T198" s="1"/>
    </row>
    <row r="199" ht="15.75" customHeight="1">
      <c r="T199" s="1"/>
    </row>
    <row r="200" ht="15.75" customHeight="1">
      <c r="T200" s="1"/>
    </row>
    <row r="201" ht="15.75" customHeight="1">
      <c r="T201" s="1"/>
    </row>
    <row r="202" ht="15.75" customHeight="1">
      <c r="T202" s="1"/>
    </row>
    <row r="203" ht="15.75" customHeight="1">
      <c r="T203" s="1"/>
    </row>
    <row r="204" ht="15.75" customHeight="1">
      <c r="T204" s="1"/>
    </row>
    <row r="205" ht="15.75" customHeight="1">
      <c r="T205" s="1"/>
    </row>
    <row r="206" ht="15.75" customHeight="1">
      <c r="T206" s="1"/>
    </row>
    <row r="207" ht="15.75" customHeight="1">
      <c r="T207" s="1"/>
    </row>
    <row r="208" ht="15.75" customHeight="1">
      <c r="T208" s="1"/>
    </row>
    <row r="209" ht="15.75" customHeight="1">
      <c r="T209" s="1"/>
    </row>
    <row r="210" ht="15.75" customHeight="1">
      <c r="T210" s="1"/>
    </row>
    <row r="211" ht="15.75" customHeight="1">
      <c r="T211" s="1"/>
    </row>
    <row r="212" ht="15.75" customHeight="1">
      <c r="T212" s="1"/>
    </row>
    <row r="213" ht="15.75" customHeight="1">
      <c r="T213" s="1"/>
    </row>
    <row r="214" ht="15.75" customHeight="1">
      <c r="T214" s="1"/>
    </row>
    <row r="215" ht="15.75" customHeight="1">
      <c r="T215" s="1"/>
    </row>
    <row r="216" ht="15.75" customHeight="1">
      <c r="T216" s="1"/>
    </row>
    <row r="217" ht="15.75" customHeight="1">
      <c r="T217" s="1"/>
    </row>
    <row r="218" ht="15.75" customHeight="1">
      <c r="T218" s="1"/>
    </row>
    <row r="219" ht="15.75" customHeight="1">
      <c r="T219" s="1"/>
    </row>
    <row r="220" ht="15.75" customHeight="1">
      <c r="T220" s="1"/>
    </row>
    <row r="221" ht="15.75" customHeight="1">
      <c r="T221" s="1"/>
    </row>
    <row r="222" ht="15.75" customHeight="1">
      <c r="T222" s="1"/>
    </row>
    <row r="223" ht="15.75" customHeight="1">
      <c r="T223" s="1"/>
    </row>
    <row r="224" ht="15.75" customHeight="1">
      <c r="T224" s="1"/>
    </row>
    <row r="225" ht="15.75" customHeight="1">
      <c r="T225" s="1"/>
    </row>
    <row r="226" ht="15.75" customHeight="1">
      <c r="T226" s="1"/>
    </row>
    <row r="227" ht="15.75" customHeight="1">
      <c r="T227" s="1"/>
    </row>
    <row r="228" ht="15.75" customHeight="1">
      <c r="T228" s="1"/>
    </row>
    <row r="229" ht="15.75" customHeight="1">
      <c r="T229" s="1"/>
    </row>
    <row r="230" ht="15.75" customHeight="1">
      <c r="T230" s="1"/>
    </row>
    <row r="231" ht="15.75" customHeight="1">
      <c r="T231" s="1"/>
    </row>
    <row r="232" ht="15.75" customHeight="1">
      <c r="T232" s="1"/>
    </row>
    <row r="233" ht="15.75" customHeight="1">
      <c r="T233" s="1"/>
    </row>
    <row r="234" ht="15.75" customHeight="1">
      <c r="T234" s="1"/>
    </row>
    <row r="235" ht="15.75" customHeight="1">
      <c r="T235" s="1"/>
    </row>
    <row r="236" ht="15.75" customHeight="1">
      <c r="T236" s="1"/>
    </row>
    <row r="237" ht="15.75" customHeight="1">
      <c r="T237" s="1"/>
    </row>
    <row r="238" ht="15.75" customHeight="1">
      <c r="T238" s="1"/>
    </row>
    <row r="239" ht="15.75" customHeight="1">
      <c r="T239" s="1"/>
    </row>
    <row r="240" ht="15.75" customHeight="1">
      <c r="T240" s="1"/>
    </row>
    <row r="241" ht="15.75" customHeight="1">
      <c r="T241" s="1"/>
    </row>
    <row r="242" ht="15.75" customHeight="1">
      <c r="T242" s="1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4">
    <mergeCell ref="D33:F33"/>
    <mergeCell ref="D34:F34"/>
    <mergeCell ref="D38:F38"/>
    <mergeCell ref="D39:F39"/>
    <mergeCell ref="D40:F40"/>
    <mergeCell ref="D41:F41"/>
    <mergeCell ref="D42:F42"/>
    <mergeCell ref="O33:P33"/>
    <mergeCell ref="O34:P34"/>
    <mergeCell ref="B3:V3"/>
    <mergeCell ref="B4:V4"/>
    <mergeCell ref="B5:V5"/>
    <mergeCell ref="V6:V7"/>
    <mergeCell ref="B33:B34"/>
    <mergeCell ref="G33:M33"/>
    <mergeCell ref="G34:M34"/>
    <mergeCell ref="G35:M35"/>
    <mergeCell ref="O35:P35"/>
    <mergeCell ref="G36:M36"/>
    <mergeCell ref="S36:T36"/>
    <mergeCell ref="O37:P37"/>
    <mergeCell ref="Q37:R37"/>
    <mergeCell ref="S37:T37"/>
    <mergeCell ref="G39:M39"/>
    <mergeCell ref="G40:M40"/>
    <mergeCell ref="G41:M41"/>
    <mergeCell ref="G42:M42"/>
    <mergeCell ref="G37:M37"/>
    <mergeCell ref="G38:M38"/>
    <mergeCell ref="O38:P38"/>
    <mergeCell ref="Q38:R38"/>
    <mergeCell ref="S38:T38"/>
    <mergeCell ref="O39:Q39"/>
    <mergeCell ref="S39:T39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3" max="3" width="18.43"/>
    <col customWidth="1" min="4" max="4" width="10.0"/>
    <col customWidth="1" min="5" max="6" width="11.0"/>
    <col customWidth="1" min="7" max="7" width="9.86"/>
    <col customWidth="1" min="8" max="8" width="9.29"/>
    <col customWidth="1" min="9" max="9" width="9.57"/>
    <col customWidth="1" min="10" max="10" width="9.71"/>
    <col customWidth="1" min="11" max="11" width="9.29"/>
    <col customWidth="1" min="12" max="12" width="10.0"/>
    <col customWidth="1" min="13" max="13" width="9.86"/>
    <col customWidth="1" min="14" max="14" width="9.57"/>
    <col customWidth="1" min="15" max="16" width="9.29"/>
    <col customWidth="1" min="17" max="17" width="9.14"/>
    <col customWidth="1" min="18" max="18" width="9.57"/>
    <col customWidth="1" min="19" max="19" width="10.0"/>
    <col customWidth="1" min="20" max="21" width="10.29"/>
    <col customWidth="1" min="22" max="22" width="10.71"/>
    <col customWidth="1" min="23" max="23" width="15.86"/>
  </cols>
  <sheetData>
    <row r="2">
      <c r="F2" s="1"/>
    </row>
    <row r="3">
      <c r="B3" s="138" t="s">
        <v>84</v>
      </c>
      <c r="C3" s="3"/>
      <c r="D3" s="3"/>
      <c r="E3" s="139"/>
      <c r="F3" s="5"/>
      <c r="G3" s="140" t="s">
        <v>1</v>
      </c>
      <c r="H3" s="141" t="s">
        <v>2</v>
      </c>
      <c r="I3" s="142" t="s">
        <v>3</v>
      </c>
      <c r="J3" s="143" t="s">
        <v>4</v>
      </c>
      <c r="K3" s="144" t="s">
        <v>5</v>
      </c>
      <c r="L3" s="145" t="s">
        <v>6</v>
      </c>
      <c r="M3" s="146" t="s">
        <v>7</v>
      </c>
      <c r="N3" s="147" t="s">
        <v>8</v>
      </c>
      <c r="O3" s="148" t="s">
        <v>9</v>
      </c>
      <c r="P3" s="149" t="s">
        <v>10</v>
      </c>
      <c r="Q3" s="150" t="s">
        <v>11</v>
      </c>
      <c r="R3" s="151" t="s">
        <v>12</v>
      </c>
      <c r="S3" s="152" t="s">
        <v>13</v>
      </c>
      <c r="T3" s="4"/>
      <c r="U3" s="4"/>
      <c r="V3" s="4"/>
      <c r="W3" s="153"/>
    </row>
    <row r="4">
      <c r="B4" s="20" t="s">
        <v>14</v>
      </c>
      <c r="C4" s="21"/>
      <c r="D4" s="22" t="s">
        <v>16</v>
      </c>
      <c r="E4" s="22" t="s">
        <v>17</v>
      </c>
      <c r="F4" s="23" t="s">
        <v>18</v>
      </c>
      <c r="G4" s="154">
        <v>2.0</v>
      </c>
      <c r="H4" s="155">
        <v>5.0</v>
      </c>
      <c r="I4" s="156">
        <v>7.0</v>
      </c>
      <c r="J4" s="157">
        <v>10.0</v>
      </c>
      <c r="K4" s="158">
        <v>11.0</v>
      </c>
      <c r="L4" s="159">
        <v>12.0</v>
      </c>
      <c r="M4" s="160">
        <v>13.0</v>
      </c>
      <c r="N4" s="161">
        <v>16.0</v>
      </c>
      <c r="O4" s="162">
        <v>69.0</v>
      </c>
      <c r="P4" s="163">
        <v>76.0</v>
      </c>
      <c r="Q4" s="164">
        <v>77.0</v>
      </c>
      <c r="R4" s="165">
        <v>79.0</v>
      </c>
      <c r="S4" s="166">
        <v>81.0</v>
      </c>
      <c r="T4" s="165" t="s">
        <v>19</v>
      </c>
      <c r="U4" s="165" t="s">
        <v>20</v>
      </c>
      <c r="V4" s="165" t="s">
        <v>21</v>
      </c>
      <c r="W4" s="167" t="s">
        <v>85</v>
      </c>
    </row>
    <row r="5">
      <c r="B5" s="139"/>
      <c r="C5" s="139"/>
      <c r="D5" s="139"/>
      <c r="E5" s="139"/>
      <c r="F5" s="5"/>
      <c r="G5" s="4"/>
      <c r="H5" s="4"/>
      <c r="I5" s="4"/>
      <c r="J5" s="168"/>
      <c r="K5" s="4"/>
      <c r="L5" s="4"/>
      <c r="M5" s="4"/>
      <c r="N5" s="4"/>
      <c r="O5" s="4"/>
      <c r="P5" s="4"/>
      <c r="Q5" s="4"/>
      <c r="R5" s="4"/>
      <c r="S5" s="109"/>
      <c r="T5" s="4"/>
      <c r="U5" s="4"/>
      <c r="V5" s="4"/>
      <c r="W5" s="153"/>
    </row>
    <row r="6" ht="90.0" customHeight="1">
      <c r="B6" s="65" t="s">
        <v>86</v>
      </c>
      <c r="C6" s="64"/>
      <c r="D6" s="65">
        <v>6.0</v>
      </c>
      <c r="E6" s="65" t="s">
        <v>87</v>
      </c>
      <c r="F6" s="46">
        <v>37.0</v>
      </c>
      <c r="G6" s="66"/>
      <c r="H6" s="67"/>
      <c r="I6" s="169"/>
      <c r="J6" s="170"/>
      <c r="K6" s="171"/>
      <c r="L6" s="71"/>
      <c r="M6" s="72"/>
      <c r="N6" s="73"/>
      <c r="O6" s="74"/>
      <c r="P6" s="75"/>
      <c r="Q6" s="76"/>
      <c r="R6" s="77"/>
      <c r="S6" s="78"/>
      <c r="T6" s="79">
        <f t="shared" ref="T6:T11" si="1">SUM(G6:S6)</f>
        <v>0</v>
      </c>
      <c r="U6" s="79">
        <f t="shared" ref="U6:U11" si="2">T6*D6</f>
        <v>0</v>
      </c>
      <c r="V6" s="79">
        <f>T6*0.2</f>
        <v>0</v>
      </c>
      <c r="W6" s="172">
        <f t="shared" ref="W6:W11" si="3">T6*F6</f>
        <v>0</v>
      </c>
    </row>
    <row r="7" ht="93.75" customHeight="1">
      <c r="B7" s="173" t="s">
        <v>88</v>
      </c>
      <c r="C7" s="64"/>
      <c r="D7" s="65">
        <v>4.0</v>
      </c>
      <c r="E7" s="65" t="s">
        <v>89</v>
      </c>
      <c r="F7" s="46">
        <v>36.0</v>
      </c>
      <c r="G7" s="66"/>
      <c r="H7" s="67"/>
      <c r="I7" s="169"/>
      <c r="J7" s="69"/>
      <c r="K7" s="171"/>
      <c r="L7" s="71"/>
      <c r="M7" s="72"/>
      <c r="N7" s="73"/>
      <c r="O7" s="74"/>
      <c r="P7" s="75"/>
      <c r="Q7" s="76"/>
      <c r="R7" s="77"/>
      <c r="S7" s="78"/>
      <c r="T7" s="79">
        <f t="shared" si="1"/>
        <v>0</v>
      </c>
      <c r="U7" s="79">
        <f t="shared" si="2"/>
        <v>0</v>
      </c>
      <c r="V7" s="79">
        <f>T7*0.3</f>
        <v>0</v>
      </c>
      <c r="W7" s="172">
        <f t="shared" si="3"/>
        <v>0</v>
      </c>
    </row>
    <row r="8" ht="99.0" customHeight="1">
      <c r="B8" s="173" t="s">
        <v>90</v>
      </c>
      <c r="C8" s="64"/>
      <c r="D8" s="65">
        <v>7.0</v>
      </c>
      <c r="E8" s="65" t="s">
        <v>91</v>
      </c>
      <c r="F8" s="46">
        <v>150.0</v>
      </c>
      <c r="G8" s="66"/>
      <c r="H8" s="67"/>
      <c r="I8" s="169"/>
      <c r="J8" s="69"/>
      <c r="K8" s="171"/>
      <c r="L8" s="71"/>
      <c r="M8" s="72"/>
      <c r="N8" s="73"/>
      <c r="O8" s="74"/>
      <c r="P8" s="75"/>
      <c r="Q8" s="76"/>
      <c r="R8" s="77"/>
      <c r="S8" s="78"/>
      <c r="T8" s="79">
        <f t="shared" si="1"/>
        <v>0</v>
      </c>
      <c r="U8" s="79">
        <f t="shared" si="2"/>
        <v>0</v>
      </c>
      <c r="V8" s="79">
        <f>T8*2.2</f>
        <v>0</v>
      </c>
      <c r="W8" s="172">
        <f t="shared" si="3"/>
        <v>0</v>
      </c>
    </row>
    <row r="9" ht="94.5" customHeight="1">
      <c r="B9" s="173" t="s">
        <v>92</v>
      </c>
      <c r="C9" s="65" t="s">
        <v>93</v>
      </c>
      <c r="D9" s="65">
        <v>4.0</v>
      </c>
      <c r="E9" s="65" t="s">
        <v>94</v>
      </c>
      <c r="F9" s="174">
        <v>177.0</v>
      </c>
      <c r="G9" s="66"/>
      <c r="H9" s="67"/>
      <c r="I9" s="169"/>
      <c r="J9" s="69"/>
      <c r="K9" s="171"/>
      <c r="L9" s="71"/>
      <c r="M9" s="72"/>
      <c r="N9" s="73"/>
      <c r="O9" s="74"/>
      <c r="P9" s="75"/>
      <c r="Q9" s="76"/>
      <c r="R9" s="77"/>
      <c r="S9" s="78"/>
      <c r="T9" s="79">
        <f t="shared" si="1"/>
        <v>0</v>
      </c>
      <c r="U9" s="79">
        <f t="shared" si="2"/>
        <v>0</v>
      </c>
      <c r="V9" s="79"/>
      <c r="W9" s="172">
        <f t="shared" si="3"/>
        <v>0</v>
      </c>
    </row>
    <row r="10" ht="88.5" customHeight="1">
      <c r="B10" s="173" t="s">
        <v>95</v>
      </c>
      <c r="C10" s="64"/>
      <c r="D10" s="65">
        <v>2.0</v>
      </c>
      <c r="E10" s="65" t="s">
        <v>96</v>
      </c>
      <c r="F10" s="46">
        <v>39.0</v>
      </c>
      <c r="G10" s="66"/>
      <c r="H10" s="67"/>
      <c r="I10" s="169"/>
      <c r="J10" s="69"/>
      <c r="K10" s="171"/>
      <c r="L10" s="71"/>
      <c r="M10" s="72"/>
      <c r="N10" s="73"/>
      <c r="O10" s="74"/>
      <c r="P10" s="75"/>
      <c r="Q10" s="76"/>
      <c r="R10" s="77"/>
      <c r="S10" s="78"/>
      <c r="T10" s="79">
        <f t="shared" si="1"/>
        <v>0</v>
      </c>
      <c r="U10" s="79">
        <f t="shared" si="2"/>
        <v>0</v>
      </c>
      <c r="V10" s="79">
        <f>T10*0.5</f>
        <v>0</v>
      </c>
      <c r="W10" s="172">
        <f t="shared" si="3"/>
        <v>0</v>
      </c>
    </row>
    <row r="11" ht="102.0" customHeight="1">
      <c r="B11" s="173" t="s">
        <v>97</v>
      </c>
      <c r="C11" s="65" t="s">
        <v>93</v>
      </c>
      <c r="D11" s="65">
        <v>2.0</v>
      </c>
      <c r="E11" s="65" t="s">
        <v>98</v>
      </c>
      <c r="F11" s="174">
        <v>100.0</v>
      </c>
      <c r="G11" s="66"/>
      <c r="H11" s="67"/>
      <c r="I11" s="169"/>
      <c r="J11" s="69"/>
      <c r="K11" s="171"/>
      <c r="L11" s="71"/>
      <c r="M11" s="72"/>
      <c r="N11" s="73"/>
      <c r="O11" s="74"/>
      <c r="P11" s="75"/>
      <c r="Q11" s="76"/>
      <c r="R11" s="77"/>
      <c r="S11" s="78"/>
      <c r="T11" s="79">
        <f t="shared" si="1"/>
        <v>0</v>
      </c>
      <c r="U11" s="79">
        <f t="shared" si="2"/>
        <v>0</v>
      </c>
      <c r="V11" s="79"/>
      <c r="W11" s="172">
        <f t="shared" si="3"/>
        <v>0</v>
      </c>
    </row>
    <row r="12">
      <c r="G12" s="19">
        <f t="shared" ref="G12:W12" si="4">SUM(G6:G11)</f>
        <v>0</v>
      </c>
      <c r="H12" s="19">
        <f t="shared" si="4"/>
        <v>0</v>
      </c>
      <c r="I12" s="19">
        <f t="shared" si="4"/>
        <v>0</v>
      </c>
      <c r="J12" s="19">
        <f t="shared" si="4"/>
        <v>0</v>
      </c>
      <c r="K12" s="19">
        <f t="shared" si="4"/>
        <v>0</v>
      </c>
      <c r="L12" s="19">
        <f t="shared" si="4"/>
        <v>0</v>
      </c>
      <c r="M12" s="19">
        <f t="shared" si="4"/>
        <v>0</v>
      </c>
      <c r="N12" s="19">
        <f t="shared" si="4"/>
        <v>0</v>
      </c>
      <c r="O12" s="19">
        <f t="shared" si="4"/>
        <v>0</v>
      </c>
      <c r="P12" s="19">
        <f t="shared" si="4"/>
        <v>0</v>
      </c>
      <c r="Q12" s="19">
        <f t="shared" si="4"/>
        <v>0</v>
      </c>
      <c r="R12" s="19">
        <f t="shared" si="4"/>
        <v>0</v>
      </c>
      <c r="S12" s="19">
        <f t="shared" si="4"/>
        <v>0</v>
      </c>
      <c r="T12" s="19">
        <f t="shared" si="4"/>
        <v>0</v>
      </c>
      <c r="U12" s="19">
        <f t="shared" si="4"/>
        <v>0</v>
      </c>
      <c r="V12" s="19">
        <f t="shared" si="4"/>
        <v>0</v>
      </c>
      <c r="W12" s="107">
        <f t="shared" si="4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D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14.0"/>
    <col customWidth="1" min="3" max="3" width="19.43"/>
    <col customWidth="1" min="4" max="5" width="9.14"/>
    <col customWidth="1" min="6" max="6" width="10.43"/>
    <col customWidth="1" min="7" max="11" width="9.71"/>
    <col customWidth="1" min="12" max="13" width="10.29"/>
    <col customWidth="1" min="14" max="15" width="9.71"/>
    <col customWidth="1" min="16" max="17" width="9.29"/>
    <col customWidth="1" min="18" max="18" width="9.71"/>
    <col customWidth="1" min="19" max="19" width="10.43"/>
    <col customWidth="1" min="20" max="20" width="9.71"/>
    <col customWidth="1" min="21" max="22" width="9.14"/>
    <col customWidth="1" min="23" max="23" width="11.57"/>
  </cols>
  <sheetData>
    <row r="1">
      <c r="B1" s="175" t="s">
        <v>99</v>
      </c>
      <c r="C1" s="176"/>
      <c r="D1" s="176"/>
      <c r="E1" s="176"/>
      <c r="F1" s="176"/>
    </row>
    <row r="2">
      <c r="B2" s="177"/>
      <c r="G2" s="140" t="s">
        <v>1</v>
      </c>
      <c r="H2" s="141" t="s">
        <v>2</v>
      </c>
      <c r="I2" s="178" t="s">
        <v>3</v>
      </c>
      <c r="J2" s="143" t="s">
        <v>4</v>
      </c>
      <c r="K2" s="179" t="s">
        <v>5</v>
      </c>
      <c r="L2" s="145" t="s">
        <v>6</v>
      </c>
      <c r="M2" s="146" t="s">
        <v>7</v>
      </c>
      <c r="N2" s="147" t="s">
        <v>8</v>
      </c>
      <c r="O2" s="148" t="s">
        <v>9</v>
      </c>
      <c r="P2" s="149" t="s">
        <v>10</v>
      </c>
      <c r="Q2" s="150" t="s">
        <v>11</v>
      </c>
      <c r="R2" s="151" t="s">
        <v>12</v>
      </c>
      <c r="S2" s="152" t="s">
        <v>13</v>
      </c>
      <c r="T2" s="4"/>
      <c r="U2" s="4"/>
      <c r="V2" s="4"/>
      <c r="W2" s="153"/>
      <c r="X2" s="153"/>
    </row>
    <row r="3">
      <c r="B3" s="20" t="s">
        <v>14</v>
      </c>
      <c r="C3" s="21"/>
      <c r="D3" s="22" t="s">
        <v>16</v>
      </c>
      <c r="E3" s="22" t="s">
        <v>17</v>
      </c>
      <c r="F3" s="23" t="s">
        <v>18</v>
      </c>
      <c r="G3" s="154">
        <v>2.0</v>
      </c>
      <c r="H3" s="155">
        <v>5.0</v>
      </c>
      <c r="I3" s="180">
        <v>7.0</v>
      </c>
      <c r="J3" s="157">
        <v>10.0</v>
      </c>
      <c r="K3" s="181">
        <v>11.0</v>
      </c>
      <c r="L3" s="159">
        <v>12.0</v>
      </c>
      <c r="M3" s="160">
        <v>13.0</v>
      </c>
      <c r="N3" s="161">
        <v>16.0</v>
      </c>
      <c r="O3" s="162">
        <v>69.0</v>
      </c>
      <c r="P3" s="163">
        <v>76.0</v>
      </c>
      <c r="Q3" s="164">
        <v>77.0</v>
      </c>
      <c r="R3" s="165">
        <v>79.0</v>
      </c>
      <c r="S3" s="166">
        <v>81.0</v>
      </c>
      <c r="T3" s="165" t="s">
        <v>19</v>
      </c>
      <c r="U3" s="165" t="s">
        <v>20</v>
      </c>
      <c r="V3" s="165" t="s">
        <v>21</v>
      </c>
      <c r="W3" s="167" t="s">
        <v>85</v>
      </c>
      <c r="X3" s="153"/>
    </row>
    <row r="4">
      <c r="B4" s="139"/>
      <c r="C4" s="139"/>
      <c r="D4" s="139"/>
      <c r="E4" s="139"/>
      <c r="F4" s="5"/>
      <c r="G4" s="4"/>
      <c r="H4" s="4"/>
      <c r="I4" s="4"/>
      <c r="J4" s="109"/>
      <c r="K4" s="4"/>
      <c r="L4" s="4"/>
      <c r="M4" s="4"/>
      <c r="N4" s="4"/>
      <c r="O4" s="4"/>
      <c r="P4" s="4"/>
      <c r="Q4" s="4"/>
      <c r="R4" s="4"/>
      <c r="S4" s="109"/>
      <c r="T4" s="4"/>
      <c r="U4" s="4"/>
      <c r="V4" s="4"/>
      <c r="W4" s="153"/>
      <c r="X4" s="153"/>
    </row>
    <row r="5" ht="109.5" customHeight="1">
      <c r="B5" s="173" t="s">
        <v>100</v>
      </c>
      <c r="C5" s="65"/>
      <c r="D5" s="65">
        <v>10.0</v>
      </c>
      <c r="E5" s="65" t="s">
        <v>101</v>
      </c>
      <c r="F5" s="46">
        <v>70.0</v>
      </c>
      <c r="G5" s="66"/>
      <c r="H5" s="67"/>
      <c r="I5" s="68"/>
      <c r="J5" s="69"/>
      <c r="K5" s="70"/>
      <c r="L5" s="71"/>
      <c r="M5" s="72"/>
      <c r="N5" s="73"/>
      <c r="O5" s="74"/>
      <c r="P5" s="75"/>
      <c r="Q5" s="76"/>
      <c r="R5" s="77"/>
      <c r="S5" s="78"/>
      <c r="T5" s="79">
        <f t="shared" ref="T5:T14" si="1">SUM(G5:S5)</f>
        <v>0</v>
      </c>
      <c r="U5" s="79">
        <f t="shared" ref="U5:U8" si="2">T5*D5</f>
        <v>0</v>
      </c>
      <c r="V5" s="79">
        <f>T5*0.9</f>
        <v>0</v>
      </c>
      <c r="W5" s="172">
        <f t="shared" ref="W5:W8" si="3">T5*F5</f>
        <v>0</v>
      </c>
      <c r="X5" s="153"/>
    </row>
    <row r="6" ht="109.5" customHeight="1">
      <c r="B6" s="173" t="s">
        <v>102</v>
      </c>
      <c r="C6" s="64"/>
      <c r="D6" s="65">
        <v>10.0</v>
      </c>
      <c r="E6" s="65" t="s">
        <v>103</v>
      </c>
      <c r="F6" s="46">
        <v>89.0</v>
      </c>
      <c r="G6" s="66"/>
      <c r="H6" s="67"/>
      <c r="I6" s="68"/>
      <c r="J6" s="69"/>
      <c r="K6" s="70"/>
      <c r="L6" s="71"/>
      <c r="M6" s="72"/>
      <c r="N6" s="73"/>
      <c r="O6" s="74"/>
      <c r="P6" s="75"/>
      <c r="Q6" s="76"/>
      <c r="R6" s="77"/>
      <c r="S6" s="78"/>
      <c r="T6" s="79">
        <f t="shared" si="1"/>
        <v>0</v>
      </c>
      <c r="U6" s="79">
        <f t="shared" si="2"/>
        <v>0</v>
      </c>
      <c r="V6" s="79">
        <f>T6*0.56</f>
        <v>0</v>
      </c>
      <c r="W6" s="172">
        <f t="shared" si="3"/>
        <v>0</v>
      </c>
      <c r="X6" s="153"/>
    </row>
    <row r="7" ht="109.5" customHeight="1">
      <c r="B7" s="173" t="s">
        <v>104</v>
      </c>
      <c r="C7" s="64"/>
      <c r="D7" s="65">
        <v>10.0</v>
      </c>
      <c r="E7" s="65" t="s">
        <v>105</v>
      </c>
      <c r="F7" s="46">
        <v>117.0</v>
      </c>
      <c r="G7" s="66"/>
      <c r="H7" s="67"/>
      <c r="I7" s="68"/>
      <c r="J7" s="69"/>
      <c r="K7" s="70"/>
      <c r="L7" s="71"/>
      <c r="M7" s="72"/>
      <c r="N7" s="73"/>
      <c r="O7" s="74"/>
      <c r="P7" s="75"/>
      <c r="Q7" s="76"/>
      <c r="R7" s="77"/>
      <c r="S7" s="78"/>
      <c r="T7" s="79">
        <f t="shared" si="1"/>
        <v>0</v>
      </c>
      <c r="U7" s="79">
        <f t="shared" si="2"/>
        <v>0</v>
      </c>
      <c r="V7" s="79">
        <f>T7*1.4</f>
        <v>0</v>
      </c>
      <c r="W7" s="172">
        <f t="shared" si="3"/>
        <v>0</v>
      </c>
      <c r="X7" s="153"/>
    </row>
    <row r="8" ht="109.5" customHeight="1">
      <c r="B8" s="173" t="s">
        <v>106</v>
      </c>
      <c r="C8" s="64"/>
      <c r="D8" s="65">
        <v>10.0</v>
      </c>
      <c r="E8" s="65" t="s">
        <v>107</v>
      </c>
      <c r="F8" s="46">
        <v>161.0</v>
      </c>
      <c r="G8" s="66"/>
      <c r="H8" s="67"/>
      <c r="I8" s="68"/>
      <c r="J8" s="69"/>
      <c r="K8" s="70"/>
      <c r="L8" s="71"/>
      <c r="M8" s="72"/>
      <c r="N8" s="73"/>
      <c r="O8" s="74"/>
      <c r="P8" s="75"/>
      <c r="Q8" s="76"/>
      <c r="R8" s="77"/>
      <c r="S8" s="78"/>
      <c r="T8" s="79">
        <f t="shared" si="1"/>
        <v>0</v>
      </c>
      <c r="U8" s="79">
        <f t="shared" si="2"/>
        <v>0</v>
      </c>
      <c r="V8" s="79">
        <f>T8*2.2</f>
        <v>0</v>
      </c>
      <c r="W8" s="172">
        <f t="shared" si="3"/>
        <v>0</v>
      </c>
      <c r="X8" s="153"/>
    </row>
    <row r="9" ht="109.5" customHeight="1">
      <c r="B9" s="182" t="s">
        <v>108</v>
      </c>
      <c r="C9" s="183"/>
      <c r="D9" s="184">
        <v>10.0</v>
      </c>
      <c r="E9" s="184" t="s">
        <v>109</v>
      </c>
      <c r="F9" s="185">
        <v>84.0</v>
      </c>
      <c r="G9" s="186"/>
      <c r="H9" s="187"/>
      <c r="I9" s="188"/>
      <c r="J9" s="189"/>
      <c r="K9" s="190"/>
      <c r="L9" s="191"/>
      <c r="M9" s="192"/>
      <c r="N9" s="193"/>
      <c r="O9" s="194"/>
      <c r="P9" s="195"/>
      <c r="Q9" s="196"/>
      <c r="R9" s="197"/>
      <c r="S9" s="198"/>
      <c r="T9" s="199">
        <f t="shared" si="1"/>
        <v>0</v>
      </c>
      <c r="U9" s="199">
        <f>D9*T9</f>
        <v>0</v>
      </c>
      <c r="V9" s="199">
        <f>T9*0.884</f>
        <v>0</v>
      </c>
      <c r="W9" s="200">
        <f>F9*T9</f>
        <v>0</v>
      </c>
      <c r="X9" s="153"/>
    </row>
    <row r="10" ht="109.5" customHeight="1">
      <c r="B10" s="182" t="s">
        <v>110</v>
      </c>
      <c r="C10" s="183"/>
      <c r="D10" s="184">
        <v>10.0</v>
      </c>
      <c r="E10" s="184" t="s">
        <v>111</v>
      </c>
      <c r="F10" s="185">
        <v>58.0</v>
      </c>
      <c r="G10" s="186"/>
      <c r="H10" s="187"/>
      <c r="I10" s="188"/>
      <c r="J10" s="189"/>
      <c r="K10" s="190"/>
      <c r="L10" s="191"/>
      <c r="M10" s="192"/>
      <c r="N10" s="193"/>
      <c r="O10" s="194"/>
      <c r="P10" s="195"/>
      <c r="Q10" s="196"/>
      <c r="R10" s="197"/>
      <c r="S10" s="198"/>
      <c r="T10" s="199">
        <f t="shared" si="1"/>
        <v>0</v>
      </c>
      <c r="U10" s="199">
        <f>T10*D10</f>
        <v>0</v>
      </c>
      <c r="V10" s="199">
        <f>T10*0.706</f>
        <v>0</v>
      </c>
      <c r="W10" s="200">
        <f>T10*F10</f>
        <v>0</v>
      </c>
      <c r="X10" s="153"/>
    </row>
    <row r="11" ht="109.5" customHeight="1">
      <c r="B11" s="63" t="s">
        <v>112</v>
      </c>
      <c r="C11" s="117"/>
      <c r="D11" s="65">
        <v>10.0</v>
      </c>
      <c r="E11" s="65" t="s">
        <v>113</v>
      </c>
      <c r="F11" s="46">
        <v>105.0</v>
      </c>
      <c r="G11" s="66"/>
      <c r="H11" s="67"/>
      <c r="I11" s="68"/>
      <c r="J11" s="69"/>
      <c r="K11" s="70"/>
      <c r="L11" s="71"/>
      <c r="M11" s="72"/>
      <c r="N11" s="73"/>
      <c r="O11" s="74"/>
      <c r="P11" s="75"/>
      <c r="Q11" s="76"/>
      <c r="R11" s="77"/>
      <c r="S11" s="78"/>
      <c r="T11" s="79">
        <f t="shared" si="1"/>
        <v>0</v>
      </c>
      <c r="U11" s="79">
        <f t="shared" ref="U11:U16" si="4">D11*T11</f>
        <v>0</v>
      </c>
      <c r="V11" s="79">
        <f>T11*1.323</f>
        <v>0</v>
      </c>
      <c r="W11" s="80">
        <f t="shared" ref="W11:W16" si="5">F11*T11</f>
        <v>0</v>
      </c>
      <c r="X11" s="153"/>
    </row>
    <row r="12" ht="109.5" customHeight="1">
      <c r="B12" s="182" t="s">
        <v>114</v>
      </c>
      <c r="C12" s="183"/>
      <c r="D12" s="184">
        <v>10.0</v>
      </c>
      <c r="E12" s="184" t="s">
        <v>115</v>
      </c>
      <c r="F12" s="185">
        <v>139.0</v>
      </c>
      <c r="G12" s="186"/>
      <c r="H12" s="187"/>
      <c r="I12" s="188"/>
      <c r="J12" s="189"/>
      <c r="K12" s="190"/>
      <c r="L12" s="191"/>
      <c r="M12" s="192"/>
      <c r="N12" s="193"/>
      <c r="O12" s="194"/>
      <c r="P12" s="195"/>
      <c r="Q12" s="196"/>
      <c r="R12" s="197"/>
      <c r="S12" s="198"/>
      <c r="T12" s="199">
        <f t="shared" si="1"/>
        <v>0</v>
      </c>
      <c r="U12" s="199">
        <f t="shared" si="4"/>
        <v>0</v>
      </c>
      <c r="V12" s="199">
        <f>T12*2</f>
        <v>0</v>
      </c>
      <c r="W12" s="200">
        <f t="shared" si="5"/>
        <v>0</v>
      </c>
      <c r="X12" s="153"/>
    </row>
    <row r="13" ht="109.5" customHeight="1">
      <c r="B13" s="201" t="s">
        <v>116</v>
      </c>
      <c r="C13" s="183"/>
      <c r="D13" s="184">
        <v>10.0</v>
      </c>
      <c r="E13" s="184" t="s">
        <v>117</v>
      </c>
      <c r="F13" s="202">
        <v>130.0</v>
      </c>
      <c r="G13" s="186"/>
      <c r="H13" s="187"/>
      <c r="I13" s="188"/>
      <c r="J13" s="189"/>
      <c r="K13" s="190"/>
      <c r="L13" s="191"/>
      <c r="M13" s="192"/>
      <c r="N13" s="193"/>
      <c r="O13" s="194"/>
      <c r="P13" s="195"/>
      <c r="Q13" s="196"/>
      <c r="R13" s="197"/>
      <c r="S13" s="198"/>
      <c r="T13" s="199">
        <f t="shared" si="1"/>
        <v>0</v>
      </c>
      <c r="U13" s="199">
        <f t="shared" si="4"/>
        <v>0</v>
      </c>
      <c r="V13" s="199">
        <f>T13*1.71</f>
        <v>0</v>
      </c>
      <c r="W13" s="200">
        <f t="shared" si="5"/>
        <v>0</v>
      </c>
      <c r="X13" s="153"/>
    </row>
    <row r="14" ht="109.5" customHeight="1">
      <c r="B14" s="201" t="s">
        <v>118</v>
      </c>
      <c r="C14" s="183"/>
      <c r="D14" s="184">
        <v>10.0</v>
      </c>
      <c r="E14" s="184" t="s">
        <v>119</v>
      </c>
      <c r="F14" s="185">
        <v>166.0</v>
      </c>
      <c r="G14" s="186"/>
      <c r="H14" s="187"/>
      <c r="I14" s="188"/>
      <c r="J14" s="189"/>
      <c r="K14" s="190"/>
      <c r="L14" s="191"/>
      <c r="M14" s="192"/>
      <c r="N14" s="193"/>
      <c r="O14" s="194"/>
      <c r="P14" s="195"/>
      <c r="Q14" s="196"/>
      <c r="R14" s="197"/>
      <c r="S14" s="198"/>
      <c r="T14" s="199">
        <f t="shared" si="1"/>
        <v>0</v>
      </c>
      <c r="U14" s="199">
        <f t="shared" si="4"/>
        <v>0</v>
      </c>
      <c r="V14" s="199">
        <f>T14*2.473</f>
        <v>0</v>
      </c>
      <c r="W14" s="200">
        <f t="shared" si="5"/>
        <v>0</v>
      </c>
      <c r="X14" s="153"/>
    </row>
    <row r="15" ht="109.5" customHeight="1">
      <c r="B15" s="201" t="s">
        <v>120</v>
      </c>
      <c r="C15" s="203"/>
      <c r="D15" s="184">
        <v>3.0</v>
      </c>
      <c r="E15" s="184" t="s">
        <v>121</v>
      </c>
      <c r="F15" s="185">
        <v>100.0</v>
      </c>
      <c r="G15" s="186"/>
      <c r="H15" s="187"/>
      <c r="I15" s="188"/>
      <c r="J15" s="189"/>
      <c r="K15" s="190"/>
      <c r="L15" s="191"/>
      <c r="M15" s="192"/>
      <c r="N15" s="193"/>
      <c r="O15" s="194"/>
      <c r="P15" s="195"/>
      <c r="Q15" s="196"/>
      <c r="R15" s="197"/>
      <c r="S15" s="198"/>
      <c r="T15" s="199">
        <f>SUM(O15:S15)</f>
        <v>0</v>
      </c>
      <c r="U15" s="199">
        <f t="shared" si="4"/>
        <v>0</v>
      </c>
      <c r="V15" s="199">
        <f>T15*0.91</f>
        <v>0</v>
      </c>
      <c r="W15" s="200">
        <f t="shared" si="5"/>
        <v>0</v>
      </c>
      <c r="X15" s="153"/>
    </row>
    <row r="16" ht="109.5" customHeight="1">
      <c r="B16" s="201" t="s">
        <v>122</v>
      </c>
      <c r="C16" s="203"/>
      <c r="D16" s="184">
        <v>3.0</v>
      </c>
      <c r="E16" s="184" t="s">
        <v>123</v>
      </c>
      <c r="F16" s="185">
        <v>96.0</v>
      </c>
      <c r="G16" s="186"/>
      <c r="H16" s="187"/>
      <c r="I16" s="188"/>
      <c r="J16" s="189"/>
      <c r="K16" s="190"/>
      <c r="L16" s="191"/>
      <c r="M16" s="192"/>
      <c r="N16" s="193"/>
      <c r="O16" s="194"/>
      <c r="P16" s="195"/>
      <c r="Q16" s="196"/>
      <c r="R16" s="197"/>
      <c r="S16" s="198"/>
      <c r="T16" s="199">
        <f t="shared" ref="T16:T24" si="6">SUM(G16:S16)</f>
        <v>0</v>
      </c>
      <c r="U16" s="199">
        <f t="shared" si="4"/>
        <v>0</v>
      </c>
      <c r="V16" s="199">
        <f>T16*0.84</f>
        <v>0</v>
      </c>
      <c r="W16" s="200">
        <f t="shared" si="5"/>
        <v>0</v>
      </c>
      <c r="X16" s="153"/>
    </row>
    <row r="17" ht="109.5" customHeight="1">
      <c r="B17" s="201" t="s">
        <v>124</v>
      </c>
      <c r="C17" s="203"/>
      <c r="D17" s="184">
        <v>3.0</v>
      </c>
      <c r="E17" s="184" t="s">
        <v>125</v>
      </c>
      <c r="F17" s="202">
        <v>125.0</v>
      </c>
      <c r="G17" s="186"/>
      <c r="H17" s="187"/>
      <c r="I17" s="188"/>
      <c r="J17" s="189"/>
      <c r="K17" s="190"/>
      <c r="L17" s="191"/>
      <c r="M17" s="192"/>
      <c r="N17" s="193"/>
      <c r="O17" s="194"/>
      <c r="P17" s="195"/>
      <c r="Q17" s="196"/>
      <c r="R17" s="197"/>
      <c r="S17" s="198"/>
      <c r="T17" s="199">
        <f t="shared" si="6"/>
        <v>0</v>
      </c>
      <c r="U17" s="199">
        <f t="shared" ref="U17:U18" si="7">T17*D17</f>
        <v>0</v>
      </c>
      <c r="V17" s="199">
        <f>T17*1.2</f>
        <v>0</v>
      </c>
      <c r="W17" s="200">
        <f t="shared" ref="W17:W18" si="8">T17*F17</f>
        <v>0</v>
      </c>
      <c r="X17" s="153"/>
    </row>
    <row r="18" ht="109.5" customHeight="1">
      <c r="B18" s="201" t="s">
        <v>126</v>
      </c>
      <c r="C18" s="203"/>
      <c r="D18" s="184">
        <v>3.0</v>
      </c>
      <c r="E18" s="184" t="s">
        <v>127</v>
      </c>
      <c r="F18" s="202">
        <v>151.0</v>
      </c>
      <c r="G18" s="186"/>
      <c r="H18" s="187"/>
      <c r="I18" s="188"/>
      <c r="J18" s="189"/>
      <c r="K18" s="190"/>
      <c r="L18" s="191"/>
      <c r="M18" s="192"/>
      <c r="N18" s="193"/>
      <c r="O18" s="194"/>
      <c r="P18" s="195"/>
      <c r="Q18" s="196"/>
      <c r="R18" s="197"/>
      <c r="S18" s="198"/>
      <c r="T18" s="199">
        <f t="shared" si="6"/>
        <v>0</v>
      </c>
      <c r="U18" s="199">
        <f t="shared" si="7"/>
        <v>0</v>
      </c>
      <c r="V18" s="199">
        <f>T18*1.6</f>
        <v>0</v>
      </c>
      <c r="W18" s="200">
        <f t="shared" si="8"/>
        <v>0</v>
      </c>
      <c r="X18" s="153"/>
    </row>
    <row r="19" ht="109.5" customHeight="1">
      <c r="B19" s="201" t="s">
        <v>128</v>
      </c>
      <c r="C19" s="203"/>
      <c r="D19" s="184">
        <v>3.0</v>
      </c>
      <c r="E19" s="184" t="s">
        <v>129</v>
      </c>
      <c r="F19" s="185">
        <v>148.0</v>
      </c>
      <c r="G19" s="186"/>
      <c r="H19" s="187"/>
      <c r="I19" s="188"/>
      <c r="J19" s="189"/>
      <c r="K19" s="190"/>
      <c r="L19" s="191"/>
      <c r="M19" s="192"/>
      <c r="N19" s="193"/>
      <c r="O19" s="194"/>
      <c r="P19" s="195"/>
      <c r="Q19" s="196"/>
      <c r="R19" s="197"/>
      <c r="S19" s="198"/>
      <c r="T19" s="199">
        <f t="shared" si="6"/>
        <v>0</v>
      </c>
      <c r="U19" s="199">
        <f t="shared" ref="U19:U24" si="9">D19*T19</f>
        <v>0</v>
      </c>
      <c r="V19" s="199">
        <f>T19*1.7</f>
        <v>0</v>
      </c>
      <c r="W19" s="200">
        <f t="shared" ref="W19:W24" si="10">F19*T19</f>
        <v>0</v>
      </c>
      <c r="X19" s="153"/>
    </row>
    <row r="20" ht="109.5" customHeight="1">
      <c r="B20" s="182" t="s">
        <v>130</v>
      </c>
      <c r="C20" s="183"/>
      <c r="D20" s="184">
        <v>3.0</v>
      </c>
      <c r="E20" s="184" t="s">
        <v>131</v>
      </c>
      <c r="F20" s="185">
        <v>231.0</v>
      </c>
      <c r="G20" s="186"/>
      <c r="H20" s="187"/>
      <c r="I20" s="188"/>
      <c r="J20" s="189"/>
      <c r="K20" s="190"/>
      <c r="L20" s="191"/>
      <c r="M20" s="192"/>
      <c r="N20" s="193"/>
      <c r="O20" s="194"/>
      <c r="P20" s="195"/>
      <c r="Q20" s="196"/>
      <c r="R20" s="197"/>
      <c r="S20" s="198"/>
      <c r="T20" s="199">
        <f t="shared" si="6"/>
        <v>0</v>
      </c>
      <c r="U20" s="199">
        <f t="shared" si="9"/>
        <v>0</v>
      </c>
      <c r="V20" s="199">
        <f>T20*1.43</f>
        <v>0</v>
      </c>
      <c r="W20" s="200">
        <f t="shared" si="10"/>
        <v>0</v>
      </c>
      <c r="X20" s="153"/>
    </row>
    <row r="21" ht="109.5" customHeight="1">
      <c r="B21" s="201" t="s">
        <v>132</v>
      </c>
      <c r="C21" s="183"/>
      <c r="D21" s="184">
        <v>2.0</v>
      </c>
      <c r="E21" s="184" t="s">
        <v>133</v>
      </c>
      <c r="F21" s="185">
        <v>129.0</v>
      </c>
      <c r="G21" s="186"/>
      <c r="H21" s="187"/>
      <c r="I21" s="188"/>
      <c r="J21" s="189"/>
      <c r="K21" s="190"/>
      <c r="L21" s="191"/>
      <c r="M21" s="192"/>
      <c r="N21" s="193"/>
      <c r="O21" s="194"/>
      <c r="P21" s="195"/>
      <c r="Q21" s="196"/>
      <c r="R21" s="197"/>
      <c r="S21" s="198"/>
      <c r="T21" s="199">
        <f t="shared" si="6"/>
        <v>0</v>
      </c>
      <c r="U21" s="199">
        <f t="shared" si="9"/>
        <v>0</v>
      </c>
      <c r="V21" s="199">
        <f>T21*3.1</f>
        <v>0</v>
      </c>
      <c r="W21" s="200">
        <f t="shared" si="10"/>
        <v>0</v>
      </c>
      <c r="X21" s="153"/>
    </row>
    <row r="22" ht="109.5" customHeight="1">
      <c r="B22" s="204" t="s">
        <v>134</v>
      </c>
      <c r="C22" s="205"/>
      <c r="D22" s="206">
        <v>2.0</v>
      </c>
      <c r="E22" s="206" t="s">
        <v>135</v>
      </c>
      <c r="F22" s="207">
        <v>127.0</v>
      </c>
      <c r="G22" s="208"/>
      <c r="H22" s="209"/>
      <c r="I22" s="210"/>
      <c r="J22" s="211"/>
      <c r="K22" s="212"/>
      <c r="L22" s="213"/>
      <c r="M22" s="214"/>
      <c r="N22" s="215"/>
      <c r="O22" s="216"/>
      <c r="P22" s="217"/>
      <c r="Q22" s="218"/>
      <c r="R22" s="219"/>
      <c r="S22" s="220"/>
      <c r="T22" s="199">
        <f t="shared" si="6"/>
        <v>0</v>
      </c>
      <c r="U22" s="199">
        <f t="shared" si="9"/>
        <v>0</v>
      </c>
      <c r="V22" s="221">
        <f>T22*1.4</f>
        <v>0</v>
      </c>
      <c r="W22" s="200">
        <f t="shared" si="10"/>
        <v>0</v>
      </c>
      <c r="X22" s="153"/>
    </row>
    <row r="23" ht="109.5" customHeight="1">
      <c r="B23" s="63" t="s">
        <v>136</v>
      </c>
      <c r="C23" s="117"/>
      <c r="D23" s="65">
        <v>3.0</v>
      </c>
      <c r="E23" s="65" t="s">
        <v>137</v>
      </c>
      <c r="F23" s="46">
        <v>243.0</v>
      </c>
      <c r="G23" s="66"/>
      <c r="H23" s="67"/>
      <c r="I23" s="68"/>
      <c r="J23" s="69"/>
      <c r="K23" s="70"/>
      <c r="L23" s="71"/>
      <c r="M23" s="72"/>
      <c r="N23" s="73"/>
      <c r="O23" s="74"/>
      <c r="P23" s="75"/>
      <c r="Q23" s="76"/>
      <c r="R23" s="77"/>
      <c r="S23" s="78"/>
      <c r="T23" s="79">
        <f t="shared" si="6"/>
        <v>0</v>
      </c>
      <c r="U23" s="79">
        <f t="shared" si="9"/>
        <v>0</v>
      </c>
      <c r="V23" s="79">
        <f>T23*3.3</f>
        <v>0</v>
      </c>
      <c r="W23" s="80">
        <f t="shared" si="10"/>
        <v>0</v>
      </c>
      <c r="X23" s="153"/>
    </row>
    <row r="24" ht="109.5" customHeight="1">
      <c r="B24" s="63" t="s">
        <v>138</v>
      </c>
      <c r="C24" s="117"/>
      <c r="D24" s="65">
        <v>3.0</v>
      </c>
      <c r="E24" s="65" t="s">
        <v>139</v>
      </c>
      <c r="F24" s="46">
        <v>327.0</v>
      </c>
      <c r="G24" s="66"/>
      <c r="H24" s="67"/>
      <c r="I24" s="68"/>
      <c r="J24" s="69"/>
      <c r="K24" s="70"/>
      <c r="L24" s="71"/>
      <c r="M24" s="72"/>
      <c r="N24" s="73"/>
      <c r="O24" s="74"/>
      <c r="P24" s="75"/>
      <c r="Q24" s="76"/>
      <c r="R24" s="77"/>
      <c r="S24" s="78"/>
      <c r="T24" s="79">
        <f t="shared" si="6"/>
        <v>0</v>
      </c>
      <c r="U24" s="79">
        <f t="shared" si="9"/>
        <v>0</v>
      </c>
      <c r="V24" s="79">
        <f>T24*4.637</f>
        <v>0</v>
      </c>
      <c r="W24" s="80">
        <f t="shared" si="10"/>
        <v>0</v>
      </c>
      <c r="X24" s="153"/>
    </row>
    <row r="25" ht="15.75" customHeight="1">
      <c r="F25" s="1"/>
      <c r="G25" s="222">
        <f t="shared" ref="G25:W25" si="11">SUM(G5:G24)</f>
        <v>0</v>
      </c>
      <c r="H25" s="222">
        <f t="shared" si="11"/>
        <v>0</v>
      </c>
      <c r="I25" s="222">
        <f t="shared" si="11"/>
        <v>0</v>
      </c>
      <c r="J25" s="222">
        <f t="shared" si="11"/>
        <v>0</v>
      </c>
      <c r="K25" s="222">
        <f t="shared" si="11"/>
        <v>0</v>
      </c>
      <c r="L25" s="222">
        <f t="shared" si="11"/>
        <v>0</v>
      </c>
      <c r="M25" s="222">
        <f t="shared" si="11"/>
        <v>0</v>
      </c>
      <c r="N25" s="222">
        <f t="shared" si="11"/>
        <v>0</v>
      </c>
      <c r="O25" s="222">
        <f t="shared" si="11"/>
        <v>0</v>
      </c>
      <c r="P25" s="222">
        <f t="shared" si="11"/>
        <v>0</v>
      </c>
      <c r="Q25" s="222">
        <f t="shared" si="11"/>
        <v>0</v>
      </c>
      <c r="R25" s="222">
        <f t="shared" si="11"/>
        <v>0</v>
      </c>
      <c r="S25" s="222">
        <f t="shared" si="11"/>
        <v>0</v>
      </c>
      <c r="T25" s="222">
        <f t="shared" si="11"/>
        <v>0</v>
      </c>
      <c r="U25" s="222">
        <f t="shared" si="11"/>
        <v>0</v>
      </c>
      <c r="V25" s="222">
        <f t="shared" si="11"/>
        <v>0</v>
      </c>
      <c r="W25" s="223">
        <f t="shared" si="11"/>
        <v>0</v>
      </c>
      <c r="X25" s="153"/>
    </row>
    <row r="26" ht="15.75" customHeight="1"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</row>
    <row r="27" ht="15.75" customHeight="1">
      <c r="F27" s="1"/>
    </row>
    <row r="28" ht="15.75" customHeight="1">
      <c r="F28" s="1"/>
    </row>
    <row r="29" ht="15.75" customHeight="1">
      <c r="F29" s="1"/>
    </row>
    <row r="30" ht="15.75" customHeight="1">
      <c r="F30" s="1"/>
    </row>
    <row r="31" ht="15.75" customHeight="1">
      <c r="F31" s="1"/>
    </row>
    <row r="32" ht="15.75" customHeight="1">
      <c r="F32" s="1"/>
    </row>
    <row r="33" ht="15.75" customHeight="1">
      <c r="F33" s="1"/>
    </row>
    <row r="34" ht="15.75" customHeight="1">
      <c r="F34" s="1"/>
    </row>
    <row r="35" ht="15.75" customHeight="1">
      <c r="F35" s="1"/>
    </row>
    <row r="36" ht="15.75" customHeight="1">
      <c r="F36" s="1"/>
    </row>
    <row r="37" ht="15.75" customHeight="1">
      <c r="F37" s="1"/>
    </row>
    <row r="38" ht="15.75" customHeight="1">
      <c r="F38" s="1"/>
    </row>
    <row r="39" ht="15.75" customHeight="1">
      <c r="F39" s="1"/>
    </row>
    <row r="40" ht="15.75" customHeight="1">
      <c r="F40" s="1"/>
    </row>
    <row r="41" ht="15.75" customHeight="1">
      <c r="F41" s="1"/>
    </row>
    <row r="42" ht="15.75" customHeight="1">
      <c r="F42" s="1"/>
    </row>
    <row r="43" ht="15.75" customHeight="1">
      <c r="F43" s="1"/>
    </row>
    <row r="44" ht="15.75" customHeight="1">
      <c r="F44" s="1"/>
    </row>
    <row r="45" ht="15.75" customHeight="1">
      <c r="F45" s="1"/>
    </row>
    <row r="46" ht="15.75" customHeight="1">
      <c r="F46" s="1"/>
    </row>
    <row r="47" ht="15.75" customHeight="1">
      <c r="F47" s="1"/>
    </row>
    <row r="48" ht="15.75" customHeight="1">
      <c r="F48" s="1"/>
    </row>
    <row r="49" ht="15.75" customHeight="1">
      <c r="F49" s="1"/>
    </row>
    <row r="50" ht="15.75" customHeight="1">
      <c r="F50" s="1"/>
    </row>
    <row r="51" ht="15.75" customHeight="1">
      <c r="F51" s="1"/>
    </row>
    <row r="52" ht="15.75" customHeight="1">
      <c r="F52" s="1"/>
    </row>
    <row r="53" ht="15.75" customHeight="1">
      <c r="F53" s="1"/>
    </row>
    <row r="54" ht="15.75" customHeight="1">
      <c r="F54" s="1"/>
    </row>
    <row r="55" ht="15.75" customHeight="1">
      <c r="F55" s="1"/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>
      <c r="F100" s="1"/>
    </row>
    <row r="101" ht="15.75" customHeight="1">
      <c r="F101" s="1"/>
    </row>
    <row r="102" ht="15.75" customHeight="1">
      <c r="F102" s="1"/>
    </row>
    <row r="103" ht="15.75" customHeight="1">
      <c r="F103" s="1"/>
    </row>
    <row r="104" ht="15.75" customHeight="1">
      <c r="F104" s="1"/>
    </row>
    <row r="105" ht="15.75" customHeight="1">
      <c r="F105" s="1"/>
    </row>
    <row r="106" ht="15.75" customHeight="1">
      <c r="F106" s="1"/>
    </row>
    <row r="107" ht="15.75" customHeight="1">
      <c r="F107" s="1"/>
    </row>
    <row r="108" ht="15.75" customHeight="1">
      <c r="F108" s="1"/>
    </row>
    <row r="109" ht="15.75" customHeight="1">
      <c r="F109" s="1"/>
    </row>
    <row r="110" ht="15.75" customHeight="1">
      <c r="F110" s="1"/>
    </row>
    <row r="111" ht="15.75" customHeight="1">
      <c r="F111" s="1"/>
    </row>
    <row r="112" ht="15.75" customHeight="1">
      <c r="F112" s="1"/>
    </row>
    <row r="113" ht="15.75" customHeight="1">
      <c r="F113" s="1"/>
    </row>
    <row r="114" ht="15.75" customHeight="1">
      <c r="F114" s="1"/>
    </row>
    <row r="115" ht="15.75" customHeight="1">
      <c r="F115" s="1"/>
    </row>
    <row r="116" ht="15.75" customHeight="1">
      <c r="F116" s="1"/>
    </row>
    <row r="117" ht="15.75" customHeight="1">
      <c r="F117" s="1"/>
    </row>
    <row r="118" ht="15.75" customHeight="1">
      <c r="F118" s="1"/>
    </row>
    <row r="119" ht="15.75" customHeight="1">
      <c r="F119" s="1"/>
    </row>
    <row r="120" ht="15.75" customHeight="1">
      <c r="F120" s="1"/>
    </row>
    <row r="121" ht="15.75" customHeight="1">
      <c r="F121" s="1"/>
    </row>
    <row r="122" ht="15.75" customHeight="1">
      <c r="F122" s="1"/>
    </row>
    <row r="123" ht="15.75" customHeight="1">
      <c r="F123" s="1"/>
    </row>
    <row r="124" ht="15.75" customHeight="1">
      <c r="F124" s="1"/>
    </row>
    <row r="125" ht="15.75" customHeight="1">
      <c r="F125" s="1"/>
    </row>
    <row r="126" ht="15.75" customHeight="1">
      <c r="F126" s="1"/>
    </row>
    <row r="127" ht="15.75" customHeight="1">
      <c r="F127" s="1"/>
    </row>
    <row r="128" ht="15.75" customHeight="1">
      <c r="F128" s="1"/>
    </row>
    <row r="129" ht="15.75" customHeight="1">
      <c r="F129" s="1"/>
    </row>
    <row r="130" ht="15.75" customHeight="1">
      <c r="F130" s="1"/>
    </row>
    <row r="131" ht="15.75" customHeight="1">
      <c r="F131" s="1"/>
    </row>
    <row r="132" ht="15.75" customHeight="1">
      <c r="F132" s="1"/>
    </row>
    <row r="133" ht="15.75" customHeight="1">
      <c r="F133" s="1"/>
    </row>
    <row r="134" ht="15.75" customHeight="1">
      <c r="F134" s="1"/>
    </row>
    <row r="135" ht="15.75" customHeight="1">
      <c r="F135" s="1"/>
    </row>
    <row r="136" ht="15.75" customHeight="1">
      <c r="F136" s="1"/>
    </row>
    <row r="137" ht="15.75" customHeight="1">
      <c r="F137" s="1"/>
    </row>
    <row r="138" ht="15.75" customHeight="1">
      <c r="F138" s="1"/>
    </row>
    <row r="139" ht="15.75" customHeight="1">
      <c r="F139" s="1"/>
    </row>
    <row r="140" ht="15.75" customHeight="1">
      <c r="F140" s="1"/>
    </row>
    <row r="141" ht="15.75" customHeight="1">
      <c r="F141" s="1"/>
    </row>
    <row r="142" ht="15.75" customHeight="1">
      <c r="F142" s="1"/>
    </row>
    <row r="143" ht="15.75" customHeight="1">
      <c r="F143" s="1"/>
    </row>
    <row r="144" ht="15.75" customHeight="1">
      <c r="F144" s="1"/>
    </row>
    <row r="145" ht="15.75" customHeight="1">
      <c r="F145" s="1"/>
    </row>
    <row r="146" ht="15.75" customHeight="1">
      <c r="F146" s="1"/>
    </row>
    <row r="147" ht="15.75" customHeight="1">
      <c r="F147" s="1"/>
    </row>
    <row r="148" ht="15.75" customHeight="1">
      <c r="F148" s="1"/>
    </row>
    <row r="149" ht="15.75" customHeight="1">
      <c r="F149" s="1"/>
    </row>
    <row r="150" ht="15.75" customHeight="1">
      <c r="F150" s="1"/>
    </row>
    <row r="151" ht="15.75" customHeight="1">
      <c r="F151" s="1"/>
    </row>
    <row r="152" ht="15.75" customHeight="1">
      <c r="F152" s="1"/>
    </row>
    <row r="153" ht="15.75" customHeight="1">
      <c r="F153" s="1"/>
    </row>
    <row r="154" ht="15.75" customHeight="1">
      <c r="F154" s="1"/>
    </row>
    <row r="155" ht="15.75" customHeight="1">
      <c r="F155" s="1"/>
    </row>
    <row r="156" ht="15.75" customHeight="1">
      <c r="F156" s="1"/>
    </row>
    <row r="157" ht="15.75" customHeight="1">
      <c r="F157" s="1"/>
    </row>
    <row r="158" ht="15.75" customHeight="1">
      <c r="F158" s="1"/>
    </row>
    <row r="159" ht="15.75" customHeight="1">
      <c r="F159" s="1"/>
    </row>
    <row r="160" ht="15.75" customHeight="1">
      <c r="F160" s="1"/>
    </row>
    <row r="161" ht="15.75" customHeight="1">
      <c r="F161" s="1"/>
    </row>
    <row r="162" ht="15.75" customHeight="1">
      <c r="F162" s="1"/>
    </row>
    <row r="163" ht="15.75" customHeight="1">
      <c r="F163" s="1"/>
    </row>
    <row r="164" ht="15.75" customHeight="1">
      <c r="F164" s="1"/>
    </row>
    <row r="165" ht="15.75" customHeight="1">
      <c r="F165" s="1"/>
    </row>
    <row r="166" ht="15.75" customHeight="1">
      <c r="F166" s="1"/>
    </row>
    <row r="167" ht="15.75" customHeight="1">
      <c r="F167" s="1"/>
    </row>
    <row r="168" ht="15.75" customHeight="1">
      <c r="F168" s="1"/>
    </row>
    <row r="169" ht="15.75" customHeight="1">
      <c r="F169" s="1"/>
    </row>
    <row r="170" ht="15.75" customHeight="1">
      <c r="F170" s="1"/>
    </row>
    <row r="171" ht="15.75" customHeight="1">
      <c r="F171" s="1"/>
    </row>
    <row r="172" ht="15.75" customHeight="1">
      <c r="F172" s="1"/>
    </row>
    <row r="173" ht="15.75" customHeight="1">
      <c r="F173" s="1"/>
    </row>
    <row r="174" ht="15.75" customHeight="1">
      <c r="F174" s="1"/>
    </row>
    <row r="175" ht="15.75" customHeight="1">
      <c r="F175" s="1"/>
    </row>
    <row r="176" ht="15.75" customHeight="1">
      <c r="F176" s="1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1"/>
    </row>
    <row r="182" ht="15.75" customHeight="1">
      <c r="F182" s="1"/>
    </row>
    <row r="183" ht="15.75" customHeight="1">
      <c r="F183" s="1"/>
    </row>
    <row r="184" ht="15.75" customHeight="1">
      <c r="F184" s="1"/>
    </row>
    <row r="185" ht="15.75" customHeight="1">
      <c r="F185" s="1"/>
    </row>
    <row r="186" ht="15.75" customHeight="1">
      <c r="F186" s="1"/>
    </row>
    <row r="187" ht="15.75" customHeight="1">
      <c r="F187" s="1"/>
    </row>
    <row r="188" ht="15.75" customHeight="1">
      <c r="F188" s="1"/>
    </row>
    <row r="189" ht="15.75" customHeight="1">
      <c r="F189" s="1"/>
    </row>
    <row r="190" ht="15.75" customHeight="1">
      <c r="F190" s="1"/>
    </row>
    <row r="191" ht="15.75" customHeight="1">
      <c r="F191" s="1"/>
    </row>
    <row r="192" ht="15.75" customHeight="1">
      <c r="F192" s="1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>
      <c r="F202" s="1"/>
    </row>
    <row r="203" ht="15.75" customHeight="1">
      <c r="F203" s="1"/>
    </row>
    <row r="204" ht="15.75" customHeight="1">
      <c r="F204" s="1"/>
    </row>
    <row r="205" ht="15.75" customHeight="1">
      <c r="F205" s="1"/>
    </row>
    <row r="206" ht="15.75" customHeight="1">
      <c r="F206" s="1"/>
    </row>
    <row r="207" ht="15.75" customHeight="1">
      <c r="F207" s="1"/>
    </row>
    <row r="208" ht="15.75" customHeight="1">
      <c r="F208" s="1"/>
    </row>
    <row r="209" ht="15.75" customHeight="1">
      <c r="F209" s="1"/>
    </row>
    <row r="210" ht="15.75" customHeight="1">
      <c r="F210" s="1"/>
    </row>
    <row r="211" ht="15.75" customHeight="1">
      <c r="F211" s="1"/>
    </row>
    <row r="212" ht="15.75" customHeight="1">
      <c r="F212" s="1"/>
    </row>
    <row r="213" ht="15.75" customHeight="1">
      <c r="F213" s="1"/>
    </row>
    <row r="214" ht="15.75" customHeight="1">
      <c r="F214" s="1"/>
    </row>
    <row r="215" ht="15.75" customHeight="1">
      <c r="F215" s="1"/>
    </row>
    <row r="216" ht="15.75" customHeight="1">
      <c r="F216" s="1"/>
    </row>
    <row r="217" ht="15.75" customHeight="1">
      <c r="F217" s="1"/>
    </row>
    <row r="218" ht="15.75" customHeight="1">
      <c r="F218" s="1"/>
    </row>
    <row r="219" ht="15.75" customHeight="1">
      <c r="F219" s="1"/>
    </row>
    <row r="220" ht="15.75" customHeight="1">
      <c r="F220" s="1"/>
    </row>
    <row r="221" ht="15.75" customHeight="1">
      <c r="F221" s="1"/>
    </row>
    <row r="222" ht="15.75" customHeight="1">
      <c r="F222" s="1"/>
    </row>
    <row r="223" ht="15.75" customHeight="1">
      <c r="F223" s="1"/>
    </row>
    <row r="224" ht="15.75" customHeight="1">
      <c r="F224" s="1"/>
    </row>
    <row r="225" ht="15.75" customHeight="1">
      <c r="F225" s="1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F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3.29"/>
    <col customWidth="1" min="3" max="3" width="16.71"/>
    <col customWidth="1" min="4" max="5" width="9.14"/>
    <col customWidth="1" min="6" max="6" width="10.29"/>
    <col customWidth="1" min="7" max="22" width="9.14"/>
    <col customWidth="1" min="23" max="23" width="11.71"/>
  </cols>
  <sheetData>
    <row r="1">
      <c r="A1" s="1"/>
    </row>
    <row r="2">
      <c r="B2" s="2" t="s">
        <v>140</v>
      </c>
      <c r="C2" s="3"/>
      <c r="D2" s="3"/>
      <c r="E2" s="4"/>
      <c r="F2" s="4"/>
      <c r="G2" s="6" t="s">
        <v>1</v>
      </c>
      <c r="H2" s="7" t="s">
        <v>2</v>
      </c>
      <c r="I2" s="8" t="s">
        <v>3</v>
      </c>
      <c r="J2" s="9" t="s">
        <v>4</v>
      </c>
      <c r="K2" s="10" t="s">
        <v>5</v>
      </c>
      <c r="L2" s="11" t="s">
        <v>6</v>
      </c>
      <c r="M2" s="12" t="s">
        <v>7</v>
      </c>
      <c r="N2" s="13" t="s">
        <v>8</v>
      </c>
      <c r="O2" s="14" t="s">
        <v>9</v>
      </c>
      <c r="P2" s="15" t="s">
        <v>10</v>
      </c>
      <c r="Q2" s="16" t="s">
        <v>11</v>
      </c>
      <c r="R2" s="17" t="s">
        <v>12</v>
      </c>
      <c r="S2" s="18" t="s">
        <v>13</v>
      </c>
      <c r="T2" s="4"/>
      <c r="U2" s="4"/>
      <c r="V2" s="4"/>
      <c r="W2" s="4"/>
    </row>
    <row r="3" ht="15.0" customHeight="1">
      <c r="B3" s="20" t="s">
        <v>14</v>
      </c>
      <c r="C3" s="21" t="s">
        <v>141</v>
      </c>
      <c r="D3" s="22" t="s">
        <v>16</v>
      </c>
      <c r="E3" s="22" t="s">
        <v>17</v>
      </c>
      <c r="F3" s="22" t="s">
        <v>18</v>
      </c>
      <c r="G3" s="224">
        <v>2.0</v>
      </c>
      <c r="H3" s="225">
        <v>5.0</v>
      </c>
      <c r="I3" s="226">
        <v>7.0</v>
      </c>
      <c r="J3" s="227">
        <v>10.0</v>
      </c>
      <c r="K3" s="228">
        <v>11.0</v>
      </c>
      <c r="L3" s="229">
        <v>12.0</v>
      </c>
      <c r="M3" s="230">
        <v>13.0</v>
      </c>
      <c r="N3" s="231">
        <v>16.0</v>
      </c>
      <c r="O3" s="232">
        <v>69.0</v>
      </c>
      <c r="P3" s="233">
        <v>76.0</v>
      </c>
      <c r="Q3" s="234">
        <v>77.0</v>
      </c>
      <c r="R3" s="235">
        <v>79.0</v>
      </c>
      <c r="S3" s="236">
        <v>81.0</v>
      </c>
      <c r="T3" s="165" t="s">
        <v>19</v>
      </c>
      <c r="U3" s="165" t="s">
        <v>20</v>
      </c>
      <c r="V3" s="165" t="s">
        <v>21</v>
      </c>
      <c r="W3" s="165" t="s">
        <v>85</v>
      </c>
    </row>
    <row r="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ht="99.75" customHeight="1">
      <c r="B5" s="237" t="s">
        <v>142</v>
      </c>
      <c r="C5" s="111"/>
      <c r="D5" s="45">
        <v>10.0</v>
      </c>
      <c r="E5" s="45" t="s">
        <v>143</v>
      </c>
      <c r="F5" s="238">
        <v>89.0</v>
      </c>
      <c r="G5" s="47"/>
      <c r="H5" s="48"/>
      <c r="I5" s="49"/>
      <c r="J5" s="50"/>
      <c r="K5" s="51"/>
      <c r="L5" s="52"/>
      <c r="M5" s="53"/>
      <c r="N5" s="54"/>
      <c r="O5" s="55"/>
      <c r="P5" s="56"/>
      <c r="Q5" s="57"/>
      <c r="R5" s="58"/>
      <c r="S5" s="59"/>
      <c r="T5" s="60">
        <f>G5+H5+I5+J5+K5+L5+M5+N5+O5+P5+Q5+R5+S5</f>
        <v>0</v>
      </c>
      <c r="U5" s="60">
        <f>T5*D5</f>
        <v>0</v>
      </c>
      <c r="V5" s="239">
        <f>T5*1.12</f>
        <v>0</v>
      </c>
      <c r="W5" s="61">
        <f>T5*F5</f>
        <v>0</v>
      </c>
    </row>
    <row r="6" ht="99.75" customHeight="1">
      <c r="B6" s="182" t="s">
        <v>144</v>
      </c>
      <c r="C6" s="183"/>
      <c r="D6" s="184">
        <v>10.0</v>
      </c>
      <c r="E6" s="184" t="s">
        <v>145</v>
      </c>
      <c r="F6" s="238">
        <v>106.0</v>
      </c>
      <c r="G6" s="186"/>
      <c r="H6" s="187"/>
      <c r="I6" s="188"/>
      <c r="J6" s="189"/>
      <c r="K6" s="190"/>
      <c r="L6" s="191"/>
      <c r="M6" s="192"/>
      <c r="N6" s="193"/>
      <c r="O6" s="194"/>
      <c r="P6" s="195"/>
      <c r="Q6" s="196"/>
      <c r="R6" s="197"/>
      <c r="S6" s="198"/>
      <c r="T6" s="199">
        <f>SUM(G6:S6)</f>
        <v>0</v>
      </c>
      <c r="U6" s="199">
        <f>D6*T6</f>
        <v>0</v>
      </c>
      <c r="V6" s="240">
        <f>T6*1.49</f>
        <v>0</v>
      </c>
      <c r="W6" s="200">
        <f>F6*T6</f>
        <v>0</v>
      </c>
    </row>
    <row r="7" ht="99.75" customHeight="1">
      <c r="B7" s="86" t="s">
        <v>146</v>
      </c>
      <c r="C7" s="114"/>
      <c r="D7" s="83">
        <v>10.0</v>
      </c>
      <c r="E7" s="83" t="s">
        <v>147</v>
      </c>
      <c r="F7" s="238">
        <v>93.0</v>
      </c>
      <c r="G7" s="66"/>
      <c r="H7" s="67"/>
      <c r="I7" s="68"/>
      <c r="J7" s="69"/>
      <c r="K7" s="70"/>
      <c r="L7" s="71"/>
      <c r="M7" s="72"/>
      <c r="N7" s="73"/>
      <c r="O7" s="74"/>
      <c r="P7" s="75"/>
      <c r="Q7" s="76"/>
      <c r="R7" s="77"/>
      <c r="S7" s="78"/>
      <c r="T7" s="84">
        <f>G7+H7+I7+J7+K7+L7+M7+N7+O7+P7+Q7+R7+S7</f>
        <v>0</v>
      </c>
      <c r="U7" s="84">
        <f>T7*D7</f>
        <v>0</v>
      </c>
      <c r="V7" s="241">
        <f>T7*1.22</f>
        <v>0</v>
      </c>
      <c r="W7" s="85">
        <f>T7*F7</f>
        <v>0</v>
      </c>
    </row>
    <row r="8" ht="99.75" customHeight="1">
      <c r="B8" s="63" t="s">
        <v>108</v>
      </c>
      <c r="C8" s="117"/>
      <c r="D8" s="65">
        <v>10.0</v>
      </c>
      <c r="E8" s="65" t="s">
        <v>148</v>
      </c>
      <c r="F8" s="238">
        <v>82.0</v>
      </c>
      <c r="G8" s="66"/>
      <c r="H8" s="67"/>
      <c r="I8" s="68"/>
      <c r="J8" s="69"/>
      <c r="K8" s="70"/>
      <c r="L8" s="71"/>
      <c r="M8" s="72"/>
      <c r="N8" s="73"/>
      <c r="O8" s="74"/>
      <c r="P8" s="75"/>
      <c r="Q8" s="76"/>
      <c r="R8" s="77"/>
      <c r="S8" s="78"/>
      <c r="T8" s="79">
        <f>SUM(G8:S8)</f>
        <v>0</v>
      </c>
      <c r="U8" s="79">
        <f>D8*T8</f>
        <v>0</v>
      </c>
      <c r="V8" s="242">
        <f>T8*1</f>
        <v>0</v>
      </c>
      <c r="W8" s="80">
        <f>F8*T8</f>
        <v>0</v>
      </c>
    </row>
    <row r="9" ht="99.75" customHeight="1">
      <c r="B9" s="86" t="s">
        <v>149</v>
      </c>
      <c r="C9" s="114"/>
      <c r="D9" s="83">
        <v>10.0</v>
      </c>
      <c r="E9" s="83" t="s">
        <v>150</v>
      </c>
      <c r="F9" s="238">
        <v>179.0</v>
      </c>
      <c r="G9" s="66"/>
      <c r="H9" s="67"/>
      <c r="I9" s="68"/>
      <c r="J9" s="69"/>
      <c r="K9" s="70"/>
      <c r="L9" s="71"/>
      <c r="M9" s="72"/>
      <c r="N9" s="73"/>
      <c r="O9" s="74"/>
      <c r="P9" s="75"/>
      <c r="Q9" s="76"/>
      <c r="R9" s="77"/>
      <c r="S9" s="78"/>
      <c r="T9" s="84">
        <f>G9+H9+I9+J9+K9+L9+M9+N9+O9+P9+Q9+R9+S9</f>
        <v>0</v>
      </c>
      <c r="U9" s="84">
        <f>T9*D9</f>
        <v>0</v>
      </c>
      <c r="V9" s="241">
        <f>T9*3.1</f>
        <v>0</v>
      </c>
      <c r="W9" s="85">
        <f>T9*F9</f>
        <v>0</v>
      </c>
    </row>
    <row r="10" ht="99.75" customHeight="1">
      <c r="B10" s="63" t="s">
        <v>151</v>
      </c>
      <c r="C10" s="117"/>
      <c r="D10" s="65">
        <v>5.0</v>
      </c>
      <c r="E10" s="65" t="s">
        <v>152</v>
      </c>
      <c r="F10" s="238">
        <v>73.0</v>
      </c>
      <c r="G10" s="66"/>
      <c r="H10" s="67"/>
      <c r="I10" s="68"/>
      <c r="J10" s="69"/>
      <c r="K10" s="70"/>
      <c r="L10" s="71"/>
      <c r="M10" s="72"/>
      <c r="N10" s="73"/>
      <c r="O10" s="74"/>
      <c r="P10" s="75"/>
      <c r="Q10" s="76"/>
      <c r="R10" s="77"/>
      <c r="S10" s="78"/>
      <c r="T10" s="79">
        <f t="shared" ref="T10:T11" si="1">SUM(G10:S10)</f>
        <v>0</v>
      </c>
      <c r="U10" s="79">
        <f>D10*T10</f>
        <v>0</v>
      </c>
      <c r="V10" s="242">
        <f>T10*1.13</f>
        <v>0</v>
      </c>
      <c r="W10" s="80">
        <f>F10*T10</f>
        <v>0</v>
      </c>
    </row>
    <row r="11" ht="99.75" customHeight="1">
      <c r="B11" s="63" t="s">
        <v>153</v>
      </c>
      <c r="C11" s="117"/>
      <c r="D11" s="65">
        <v>10.0</v>
      </c>
      <c r="E11" s="65" t="s">
        <v>154</v>
      </c>
      <c r="F11" s="238">
        <v>99.0</v>
      </c>
      <c r="G11" s="66"/>
      <c r="H11" s="67"/>
      <c r="I11" s="68"/>
      <c r="J11" s="69"/>
      <c r="K11" s="70"/>
      <c r="L11" s="71"/>
      <c r="M11" s="72"/>
      <c r="N11" s="73"/>
      <c r="O11" s="74"/>
      <c r="P11" s="75"/>
      <c r="Q11" s="76"/>
      <c r="R11" s="77"/>
      <c r="S11" s="78"/>
      <c r="T11" s="79">
        <f t="shared" si="1"/>
        <v>0</v>
      </c>
      <c r="U11" s="79">
        <f t="shared" ref="U11:U12" si="2">T11*D11</f>
        <v>0</v>
      </c>
      <c r="V11" s="242">
        <f>T11*1.4</f>
        <v>0</v>
      </c>
      <c r="W11" s="80">
        <f t="shared" ref="W11:W12" si="3">T11*F11</f>
        <v>0</v>
      </c>
    </row>
    <row r="12" ht="99.75" customHeight="1">
      <c r="B12" s="86" t="s">
        <v>155</v>
      </c>
      <c r="C12" s="114"/>
      <c r="D12" s="83">
        <v>5.0</v>
      </c>
      <c r="E12" s="83" t="s">
        <v>156</v>
      </c>
      <c r="F12" s="238">
        <v>221.0</v>
      </c>
      <c r="G12" s="66"/>
      <c r="H12" s="67"/>
      <c r="I12" s="68"/>
      <c r="J12" s="69"/>
      <c r="K12" s="70"/>
      <c r="L12" s="71"/>
      <c r="M12" s="72"/>
      <c r="N12" s="73"/>
      <c r="O12" s="74"/>
      <c r="P12" s="75"/>
      <c r="Q12" s="76"/>
      <c r="R12" s="77"/>
      <c r="S12" s="78"/>
      <c r="T12" s="84">
        <f>G12+H12+I12+J12+K12+L12+M12+N12+O12+P12+Q12+R12+S12</f>
        <v>0</v>
      </c>
      <c r="U12" s="84">
        <f t="shared" si="2"/>
        <v>0</v>
      </c>
      <c r="V12" s="241">
        <f>T12*4.25</f>
        <v>0</v>
      </c>
      <c r="W12" s="85">
        <f t="shared" si="3"/>
        <v>0</v>
      </c>
    </row>
    <row r="13" ht="99.75" customHeight="1">
      <c r="B13" s="63" t="s">
        <v>157</v>
      </c>
      <c r="C13" s="117"/>
      <c r="D13" s="65">
        <v>5.0</v>
      </c>
      <c r="E13" s="65" t="s">
        <v>158</v>
      </c>
      <c r="F13" s="238">
        <v>164.0</v>
      </c>
      <c r="G13" s="66"/>
      <c r="H13" s="67"/>
      <c r="I13" s="68"/>
      <c r="J13" s="69"/>
      <c r="K13" s="70"/>
      <c r="L13" s="71"/>
      <c r="M13" s="72"/>
      <c r="N13" s="73"/>
      <c r="O13" s="74"/>
      <c r="P13" s="75"/>
      <c r="Q13" s="76"/>
      <c r="R13" s="77"/>
      <c r="S13" s="78"/>
      <c r="T13" s="79">
        <f t="shared" ref="T13:T14" si="4">SUM(G13:S13)</f>
        <v>0</v>
      </c>
      <c r="U13" s="79">
        <f t="shared" ref="U13:U14" si="5">D13*T13</f>
        <v>0</v>
      </c>
      <c r="V13" s="242">
        <f>T13*1.77</f>
        <v>0</v>
      </c>
      <c r="W13" s="80">
        <f t="shared" ref="W13:W14" si="6">F13*T13</f>
        <v>0</v>
      </c>
    </row>
    <row r="14" ht="99.75" customHeight="1">
      <c r="B14" s="63" t="s">
        <v>159</v>
      </c>
      <c r="C14" s="117"/>
      <c r="D14" s="65">
        <v>5.0</v>
      </c>
      <c r="E14" s="65" t="s">
        <v>160</v>
      </c>
      <c r="F14" s="238">
        <v>206.0</v>
      </c>
      <c r="G14" s="66"/>
      <c r="H14" s="67"/>
      <c r="I14" s="68"/>
      <c r="J14" s="69"/>
      <c r="K14" s="70"/>
      <c r="L14" s="71"/>
      <c r="M14" s="72"/>
      <c r="N14" s="73"/>
      <c r="O14" s="74"/>
      <c r="P14" s="75"/>
      <c r="Q14" s="76"/>
      <c r="R14" s="77"/>
      <c r="S14" s="78"/>
      <c r="T14" s="79">
        <f t="shared" si="4"/>
        <v>0</v>
      </c>
      <c r="U14" s="79">
        <f t="shared" si="5"/>
        <v>0</v>
      </c>
      <c r="V14" s="242">
        <f>T14*2.53</f>
        <v>0</v>
      </c>
      <c r="W14" s="80">
        <f t="shared" si="6"/>
        <v>0</v>
      </c>
    </row>
    <row r="15" ht="99.75" customHeight="1">
      <c r="B15" s="63" t="s">
        <v>161</v>
      </c>
      <c r="C15" s="117"/>
      <c r="D15" s="65">
        <v>3.0</v>
      </c>
      <c r="E15" s="65" t="s">
        <v>162</v>
      </c>
      <c r="F15" s="238">
        <v>105.0</v>
      </c>
      <c r="G15" s="66"/>
      <c r="H15" s="67"/>
      <c r="I15" s="68"/>
      <c r="J15" s="69"/>
      <c r="K15" s="70"/>
      <c r="L15" s="71"/>
      <c r="M15" s="72"/>
      <c r="N15" s="73"/>
      <c r="O15" s="74"/>
      <c r="P15" s="75"/>
      <c r="Q15" s="76"/>
      <c r="R15" s="77"/>
      <c r="S15" s="78"/>
      <c r="T15" s="79">
        <f>SUM(P15:S15)</f>
        <v>0</v>
      </c>
      <c r="U15" s="79">
        <f t="shared" ref="U15:U16" si="7">T15*D15</f>
        <v>0</v>
      </c>
      <c r="V15" s="242">
        <f>T15*1.2</f>
        <v>0</v>
      </c>
      <c r="W15" s="80">
        <f t="shared" ref="W15:W16" si="8">T15*F15</f>
        <v>0</v>
      </c>
    </row>
    <row r="16" ht="99.75" customHeight="1">
      <c r="B16" s="86" t="s">
        <v>163</v>
      </c>
      <c r="C16" s="114"/>
      <c r="D16" s="83">
        <v>10.0</v>
      </c>
      <c r="E16" s="83" t="s">
        <v>164</v>
      </c>
      <c r="F16" s="238">
        <v>124.0</v>
      </c>
      <c r="G16" s="66"/>
      <c r="H16" s="67"/>
      <c r="I16" s="68"/>
      <c r="J16" s="69"/>
      <c r="K16" s="243"/>
      <c r="L16" s="71"/>
      <c r="M16" s="72"/>
      <c r="N16" s="73"/>
      <c r="O16" s="74"/>
      <c r="P16" s="75"/>
      <c r="Q16" s="76"/>
      <c r="R16" s="77"/>
      <c r="S16" s="78"/>
      <c r="T16" s="84">
        <f>G16+H16+I16+J16+K16+L16+M16+N16+O16+P16+Q16+R16+S16</f>
        <v>0</v>
      </c>
      <c r="U16" s="84">
        <f t="shared" si="7"/>
        <v>0</v>
      </c>
      <c r="V16" s="241">
        <f>T16*1.86</f>
        <v>0</v>
      </c>
      <c r="W16" s="85">
        <f t="shared" si="8"/>
        <v>0</v>
      </c>
    </row>
    <row r="17" ht="99.75" customHeight="1">
      <c r="B17" s="63" t="s">
        <v>165</v>
      </c>
      <c r="C17" s="117"/>
      <c r="D17" s="65">
        <v>10.0</v>
      </c>
      <c r="E17" s="65" t="s">
        <v>166</v>
      </c>
      <c r="F17" s="238">
        <v>139.0</v>
      </c>
      <c r="G17" s="66"/>
      <c r="H17" s="67"/>
      <c r="I17" s="68"/>
      <c r="J17" s="69"/>
      <c r="K17" s="243"/>
      <c r="L17" s="71"/>
      <c r="M17" s="72"/>
      <c r="N17" s="73"/>
      <c r="O17" s="74"/>
      <c r="P17" s="75"/>
      <c r="Q17" s="76"/>
      <c r="R17" s="77"/>
      <c r="S17" s="78"/>
      <c r="T17" s="79">
        <f t="shared" ref="T17:T20" si="9">SUM(G17:S17)</f>
        <v>0</v>
      </c>
      <c r="U17" s="79">
        <f t="shared" ref="U17:U20" si="10">D17*T17</f>
        <v>0</v>
      </c>
      <c r="V17" s="242">
        <f>T17*2.2</f>
        <v>0</v>
      </c>
      <c r="W17" s="80">
        <f t="shared" ref="W17:W20" si="11">F17*T17</f>
        <v>0</v>
      </c>
    </row>
    <row r="18" ht="99.75" customHeight="1">
      <c r="B18" s="63" t="s">
        <v>167</v>
      </c>
      <c r="C18" s="117"/>
      <c r="D18" s="65">
        <v>10.0</v>
      </c>
      <c r="E18" s="65" t="s">
        <v>168</v>
      </c>
      <c r="F18" s="238">
        <v>176.0</v>
      </c>
      <c r="G18" s="66"/>
      <c r="H18" s="67"/>
      <c r="I18" s="68"/>
      <c r="J18" s="69"/>
      <c r="K18" s="243"/>
      <c r="L18" s="71"/>
      <c r="M18" s="72"/>
      <c r="N18" s="73"/>
      <c r="O18" s="74"/>
      <c r="P18" s="75"/>
      <c r="Q18" s="76"/>
      <c r="R18" s="77"/>
      <c r="S18" s="78"/>
      <c r="T18" s="79">
        <f t="shared" si="9"/>
        <v>0</v>
      </c>
      <c r="U18" s="79">
        <f t="shared" si="10"/>
        <v>0</v>
      </c>
      <c r="V18" s="242">
        <f>T18*3</f>
        <v>0</v>
      </c>
      <c r="W18" s="80">
        <f t="shared" si="11"/>
        <v>0</v>
      </c>
    </row>
    <row r="19" ht="99.75" customHeight="1">
      <c r="B19" s="63" t="s">
        <v>169</v>
      </c>
      <c r="C19" s="117"/>
      <c r="D19" s="65">
        <v>10.0</v>
      </c>
      <c r="E19" s="65" t="s">
        <v>170</v>
      </c>
      <c r="F19" s="238">
        <v>178.0</v>
      </c>
      <c r="G19" s="66"/>
      <c r="H19" s="67"/>
      <c r="I19" s="68"/>
      <c r="J19" s="69"/>
      <c r="K19" s="243"/>
      <c r="L19" s="71"/>
      <c r="M19" s="72"/>
      <c r="N19" s="73"/>
      <c r="O19" s="74"/>
      <c r="P19" s="75"/>
      <c r="Q19" s="76"/>
      <c r="R19" s="77"/>
      <c r="S19" s="78"/>
      <c r="T19" s="79">
        <f t="shared" si="9"/>
        <v>0</v>
      </c>
      <c r="U19" s="79">
        <f t="shared" si="10"/>
        <v>0</v>
      </c>
      <c r="V19" s="242">
        <f>T19*3.1</f>
        <v>0</v>
      </c>
      <c r="W19" s="80">
        <f t="shared" si="11"/>
        <v>0</v>
      </c>
    </row>
    <row r="20" ht="99.75" customHeight="1">
      <c r="B20" s="63" t="s">
        <v>171</v>
      </c>
      <c r="C20" s="117"/>
      <c r="D20" s="65">
        <v>10.0</v>
      </c>
      <c r="E20" s="65" t="s">
        <v>172</v>
      </c>
      <c r="F20" s="238">
        <v>202.0</v>
      </c>
      <c r="G20" s="66"/>
      <c r="H20" s="67"/>
      <c r="I20" s="68"/>
      <c r="J20" s="69"/>
      <c r="K20" s="243"/>
      <c r="L20" s="71"/>
      <c r="M20" s="72"/>
      <c r="N20" s="73"/>
      <c r="O20" s="74"/>
      <c r="P20" s="75"/>
      <c r="Q20" s="76"/>
      <c r="R20" s="77"/>
      <c r="S20" s="78"/>
      <c r="T20" s="79">
        <f t="shared" si="9"/>
        <v>0</v>
      </c>
      <c r="U20" s="79">
        <f t="shared" si="10"/>
        <v>0</v>
      </c>
      <c r="V20" s="242">
        <f>T20*3.53</f>
        <v>0</v>
      </c>
      <c r="W20" s="80">
        <f t="shared" si="11"/>
        <v>0</v>
      </c>
    </row>
    <row r="21" ht="99.75" customHeight="1">
      <c r="B21" s="86" t="s">
        <v>173</v>
      </c>
      <c r="C21" s="114"/>
      <c r="D21" s="83">
        <v>10.0</v>
      </c>
      <c r="E21" s="83" t="s">
        <v>174</v>
      </c>
      <c r="F21" s="238">
        <v>154.0</v>
      </c>
      <c r="G21" s="66"/>
      <c r="H21" s="67"/>
      <c r="I21" s="68"/>
      <c r="J21" s="69"/>
      <c r="K21" s="243"/>
      <c r="L21" s="71"/>
      <c r="M21" s="72"/>
      <c r="N21" s="73"/>
      <c r="O21" s="74"/>
      <c r="P21" s="75"/>
      <c r="Q21" s="76"/>
      <c r="R21" s="77"/>
      <c r="S21" s="78"/>
      <c r="T21" s="84">
        <f t="shared" ref="T21:T23" si="12">G21+H21+I21+J21+K21+L21+M21+N21+O21+P21+Q21+R21+S21</f>
        <v>0</v>
      </c>
      <c r="U21" s="84">
        <f t="shared" ref="U21:U34" si="13">T21*D21</f>
        <v>0</v>
      </c>
      <c r="V21" s="241">
        <f>T21*2.49</f>
        <v>0</v>
      </c>
      <c r="W21" s="85">
        <f t="shared" ref="W21:W34" si="14">T21*F21</f>
        <v>0</v>
      </c>
    </row>
    <row r="22" ht="99.75" customHeight="1">
      <c r="B22" s="86" t="s">
        <v>175</v>
      </c>
      <c r="C22" s="114"/>
      <c r="D22" s="83">
        <v>10.0</v>
      </c>
      <c r="E22" s="83" t="s">
        <v>176</v>
      </c>
      <c r="F22" s="238">
        <v>248.0</v>
      </c>
      <c r="G22" s="66"/>
      <c r="H22" s="67"/>
      <c r="I22" s="68"/>
      <c r="J22" s="69"/>
      <c r="K22" s="243"/>
      <c r="L22" s="71"/>
      <c r="M22" s="72"/>
      <c r="N22" s="73"/>
      <c r="O22" s="74"/>
      <c r="P22" s="75"/>
      <c r="Q22" s="76"/>
      <c r="R22" s="77"/>
      <c r="S22" s="78"/>
      <c r="T22" s="84">
        <f t="shared" si="12"/>
        <v>0</v>
      </c>
      <c r="U22" s="84">
        <f t="shared" si="13"/>
        <v>0</v>
      </c>
      <c r="V22" s="241">
        <f>T22*4.42</f>
        <v>0</v>
      </c>
      <c r="W22" s="85">
        <f t="shared" si="14"/>
        <v>0</v>
      </c>
    </row>
    <row r="23" ht="99.75" customHeight="1">
      <c r="B23" s="86" t="s">
        <v>177</v>
      </c>
      <c r="C23" s="114"/>
      <c r="D23" s="83">
        <v>10.0</v>
      </c>
      <c r="E23" s="83" t="s">
        <v>178</v>
      </c>
      <c r="F23" s="238">
        <v>196.0</v>
      </c>
      <c r="G23" s="66"/>
      <c r="H23" s="67"/>
      <c r="I23" s="68"/>
      <c r="J23" s="69"/>
      <c r="K23" s="243"/>
      <c r="L23" s="71"/>
      <c r="M23" s="72"/>
      <c r="N23" s="73"/>
      <c r="O23" s="74"/>
      <c r="P23" s="75"/>
      <c r="Q23" s="76"/>
      <c r="R23" s="77"/>
      <c r="S23" s="78"/>
      <c r="T23" s="84">
        <f t="shared" si="12"/>
        <v>0</v>
      </c>
      <c r="U23" s="84">
        <f t="shared" si="13"/>
        <v>0</v>
      </c>
      <c r="V23" s="241">
        <f>T23*3.4</f>
        <v>0</v>
      </c>
      <c r="W23" s="85">
        <f t="shared" si="14"/>
        <v>0</v>
      </c>
    </row>
    <row r="24" ht="99.75" customHeight="1">
      <c r="B24" s="63" t="s">
        <v>179</v>
      </c>
      <c r="C24" s="117"/>
      <c r="D24" s="65">
        <v>10.0</v>
      </c>
      <c r="E24" s="65" t="s">
        <v>180</v>
      </c>
      <c r="F24" s="238">
        <v>304.0</v>
      </c>
      <c r="G24" s="244"/>
      <c r="H24" s="67"/>
      <c r="I24" s="68"/>
      <c r="J24" s="69"/>
      <c r="K24" s="243"/>
      <c r="L24" s="71"/>
      <c r="M24" s="72"/>
      <c r="N24" s="73"/>
      <c r="O24" s="74"/>
      <c r="P24" s="75"/>
      <c r="Q24" s="76"/>
      <c r="R24" s="77"/>
      <c r="S24" s="78"/>
      <c r="T24" s="79">
        <f>G26+H24+I24+J24+K24+L24+M24+N24+O24+P24+Q24+R24+S24</f>
        <v>0</v>
      </c>
      <c r="U24" s="79">
        <f t="shared" si="13"/>
        <v>0</v>
      </c>
      <c r="V24" s="242">
        <f>T24*5.7</f>
        <v>0</v>
      </c>
      <c r="W24" s="80">
        <f t="shared" si="14"/>
        <v>0</v>
      </c>
    </row>
    <row r="25" ht="99.75" customHeight="1">
      <c r="B25" s="63" t="s">
        <v>181</v>
      </c>
      <c r="C25" s="117"/>
      <c r="D25" s="245">
        <v>5.0</v>
      </c>
      <c r="E25" s="65" t="s">
        <v>182</v>
      </c>
      <c r="F25" s="238">
        <v>188.0</v>
      </c>
      <c r="G25" s="66"/>
      <c r="H25" s="67"/>
      <c r="I25" s="68"/>
      <c r="J25" s="69"/>
      <c r="K25" s="70"/>
      <c r="L25" s="71"/>
      <c r="M25" s="72"/>
      <c r="N25" s="73"/>
      <c r="O25" s="74"/>
      <c r="P25" s="75"/>
      <c r="Q25" s="76"/>
      <c r="R25" s="77"/>
      <c r="S25" s="78"/>
      <c r="T25" s="79">
        <f>SUM(G25:S25)</f>
        <v>0</v>
      </c>
      <c r="U25" s="79">
        <f t="shared" si="13"/>
        <v>0</v>
      </c>
      <c r="V25" s="242">
        <f>T25*2.2</f>
        <v>0</v>
      </c>
      <c r="W25" s="80">
        <f t="shared" si="14"/>
        <v>0</v>
      </c>
    </row>
    <row r="26" ht="99.75" customHeight="1">
      <c r="B26" s="63" t="s">
        <v>183</v>
      </c>
      <c r="C26" s="117"/>
      <c r="D26" s="65">
        <v>5.0</v>
      </c>
      <c r="E26" s="65" t="s">
        <v>184</v>
      </c>
      <c r="F26" s="238">
        <v>200.0</v>
      </c>
      <c r="G26" s="66"/>
      <c r="H26" s="67"/>
      <c r="I26" s="68"/>
      <c r="J26" s="69"/>
      <c r="K26" s="70"/>
      <c r="L26" s="71"/>
      <c r="M26" s="72"/>
      <c r="N26" s="73"/>
      <c r="O26" s="74"/>
      <c r="P26" s="75"/>
      <c r="Q26" s="76"/>
      <c r="R26" s="77"/>
      <c r="S26" s="78"/>
      <c r="T26" s="79">
        <f t="shared" ref="T26:T28" si="15">G26+H26+I26+J26+K26+L26+M26+N26+O26+P26+Q26+R26+S26</f>
        <v>0</v>
      </c>
      <c r="U26" s="79">
        <f t="shared" si="13"/>
        <v>0</v>
      </c>
      <c r="V26" s="242">
        <f>T26*2.4</f>
        <v>0</v>
      </c>
      <c r="W26" s="80">
        <f t="shared" si="14"/>
        <v>0</v>
      </c>
    </row>
    <row r="27" ht="99.75" customHeight="1">
      <c r="B27" s="63" t="s">
        <v>185</v>
      </c>
      <c r="C27" s="117"/>
      <c r="D27" s="65">
        <v>5.0</v>
      </c>
      <c r="E27" s="65" t="s">
        <v>186</v>
      </c>
      <c r="F27" s="238">
        <v>282.0</v>
      </c>
      <c r="G27" s="66"/>
      <c r="H27" s="67"/>
      <c r="I27" s="68"/>
      <c r="J27" s="69"/>
      <c r="K27" s="70"/>
      <c r="L27" s="71"/>
      <c r="M27" s="72"/>
      <c r="N27" s="73"/>
      <c r="O27" s="74"/>
      <c r="P27" s="75"/>
      <c r="Q27" s="76"/>
      <c r="R27" s="77"/>
      <c r="S27" s="78"/>
      <c r="T27" s="79">
        <f t="shared" si="15"/>
        <v>0</v>
      </c>
      <c r="U27" s="79">
        <f t="shared" si="13"/>
        <v>0</v>
      </c>
      <c r="V27" s="242">
        <f>T27*3.88</f>
        <v>0</v>
      </c>
      <c r="W27" s="80">
        <f t="shared" si="14"/>
        <v>0</v>
      </c>
    </row>
    <row r="28" ht="99.75" customHeight="1">
      <c r="B28" s="63" t="s">
        <v>187</v>
      </c>
      <c r="C28" s="117"/>
      <c r="D28" s="65">
        <v>5.0</v>
      </c>
      <c r="E28" s="65" t="s">
        <v>188</v>
      </c>
      <c r="F28" s="238">
        <v>425.0</v>
      </c>
      <c r="G28" s="66"/>
      <c r="H28" s="67"/>
      <c r="I28" s="68"/>
      <c r="J28" s="69"/>
      <c r="K28" s="70"/>
      <c r="L28" s="71"/>
      <c r="M28" s="72"/>
      <c r="N28" s="73"/>
      <c r="O28" s="74"/>
      <c r="P28" s="75"/>
      <c r="Q28" s="76"/>
      <c r="R28" s="77"/>
      <c r="S28" s="78"/>
      <c r="T28" s="79">
        <f t="shared" si="15"/>
        <v>0</v>
      </c>
      <c r="U28" s="79">
        <f t="shared" si="13"/>
        <v>0</v>
      </c>
      <c r="V28" s="242">
        <f>T28*6.44</f>
        <v>0</v>
      </c>
      <c r="W28" s="80">
        <f t="shared" si="14"/>
        <v>0</v>
      </c>
    </row>
    <row r="29" ht="99.75" customHeight="1">
      <c r="B29" s="116" t="s">
        <v>189</v>
      </c>
      <c r="C29" s="117"/>
      <c r="D29" s="65">
        <v>3.0</v>
      </c>
      <c r="E29" s="65" t="s">
        <v>190</v>
      </c>
      <c r="F29" s="238">
        <v>205.0</v>
      </c>
      <c r="G29" s="66"/>
      <c r="H29" s="67"/>
      <c r="I29" s="68"/>
      <c r="J29" s="69"/>
      <c r="K29" s="70"/>
      <c r="L29" s="71"/>
      <c r="M29" s="72"/>
      <c r="N29" s="73"/>
      <c r="O29" s="74"/>
      <c r="P29" s="75"/>
      <c r="Q29" s="76"/>
      <c r="R29" s="77"/>
      <c r="S29" s="78"/>
      <c r="T29" s="79">
        <f t="shared" ref="T29:T32" si="16">SUM(G29:S29)</f>
        <v>0</v>
      </c>
      <c r="U29" s="79">
        <f t="shared" si="13"/>
        <v>0</v>
      </c>
      <c r="V29" s="242">
        <f>T29*3</f>
        <v>0</v>
      </c>
      <c r="W29" s="80">
        <f t="shared" si="14"/>
        <v>0</v>
      </c>
    </row>
    <row r="30" ht="99.75" customHeight="1">
      <c r="B30" s="63" t="s">
        <v>191</v>
      </c>
      <c r="C30" s="117"/>
      <c r="D30" s="65">
        <v>3.0</v>
      </c>
      <c r="E30" s="65" t="s">
        <v>192</v>
      </c>
      <c r="F30" s="238">
        <v>217.0</v>
      </c>
      <c r="G30" s="66"/>
      <c r="H30" s="67"/>
      <c r="I30" s="68"/>
      <c r="J30" s="69"/>
      <c r="K30" s="70"/>
      <c r="L30" s="71"/>
      <c r="M30" s="72"/>
      <c r="N30" s="73"/>
      <c r="O30" s="74"/>
      <c r="P30" s="75"/>
      <c r="Q30" s="76"/>
      <c r="R30" s="77"/>
      <c r="S30" s="78"/>
      <c r="T30" s="79">
        <f t="shared" si="16"/>
        <v>0</v>
      </c>
      <c r="U30" s="79">
        <f t="shared" si="13"/>
        <v>0</v>
      </c>
      <c r="V30" s="242">
        <f>T30*3.18</f>
        <v>0</v>
      </c>
      <c r="W30" s="80">
        <f t="shared" si="14"/>
        <v>0</v>
      </c>
    </row>
    <row r="31" ht="99.75" customHeight="1">
      <c r="B31" s="116" t="s">
        <v>193</v>
      </c>
      <c r="C31" s="117"/>
      <c r="D31" s="65">
        <v>3.0</v>
      </c>
      <c r="E31" s="65" t="s">
        <v>194</v>
      </c>
      <c r="F31" s="238">
        <v>187.0</v>
      </c>
      <c r="G31" s="66"/>
      <c r="H31" s="67"/>
      <c r="I31" s="68"/>
      <c r="J31" s="69"/>
      <c r="K31" s="70"/>
      <c r="L31" s="71"/>
      <c r="M31" s="72"/>
      <c r="N31" s="73"/>
      <c r="O31" s="74"/>
      <c r="P31" s="75"/>
      <c r="Q31" s="76"/>
      <c r="R31" s="77"/>
      <c r="S31" s="78"/>
      <c r="T31" s="79">
        <f t="shared" si="16"/>
        <v>0</v>
      </c>
      <c r="U31" s="79">
        <f t="shared" si="13"/>
        <v>0</v>
      </c>
      <c r="V31" s="242">
        <f>T31*2.7</f>
        <v>0</v>
      </c>
      <c r="W31" s="80">
        <f t="shared" si="14"/>
        <v>0</v>
      </c>
    </row>
    <row r="32" ht="99.75" customHeight="1">
      <c r="B32" s="63" t="s">
        <v>195</v>
      </c>
      <c r="C32" s="117"/>
      <c r="D32" s="65">
        <v>2.0</v>
      </c>
      <c r="E32" s="65" t="s">
        <v>196</v>
      </c>
      <c r="F32" s="238">
        <v>382.0</v>
      </c>
      <c r="G32" s="66"/>
      <c r="H32" s="67"/>
      <c r="I32" s="68"/>
      <c r="J32" s="69"/>
      <c r="K32" s="70"/>
      <c r="L32" s="71"/>
      <c r="M32" s="72"/>
      <c r="N32" s="73"/>
      <c r="O32" s="74"/>
      <c r="P32" s="75"/>
      <c r="Q32" s="76"/>
      <c r="R32" s="77"/>
      <c r="S32" s="78"/>
      <c r="T32" s="79">
        <f t="shared" si="16"/>
        <v>0</v>
      </c>
      <c r="U32" s="79">
        <f t="shared" si="13"/>
        <v>0</v>
      </c>
      <c r="V32" s="242">
        <f>T32*6.4</f>
        <v>0</v>
      </c>
      <c r="W32" s="80">
        <f t="shared" si="14"/>
        <v>0</v>
      </c>
    </row>
    <row r="33" ht="99.75" customHeight="1">
      <c r="B33" s="63" t="s">
        <v>197</v>
      </c>
      <c r="C33" s="117"/>
      <c r="D33" s="65">
        <v>1.0</v>
      </c>
      <c r="E33" s="65" t="s">
        <v>198</v>
      </c>
      <c r="F33" s="238">
        <v>147.0</v>
      </c>
      <c r="G33" s="66"/>
      <c r="H33" s="67"/>
      <c r="I33" s="68"/>
      <c r="J33" s="69"/>
      <c r="K33" s="70"/>
      <c r="L33" s="71"/>
      <c r="M33" s="72"/>
      <c r="N33" s="73"/>
      <c r="O33" s="74"/>
      <c r="P33" s="75"/>
      <c r="Q33" s="76"/>
      <c r="R33" s="77"/>
      <c r="S33" s="78"/>
      <c r="T33" s="79">
        <f>G33+H33+I33+J33+K33+L33+M33+N33+O33+P33+Q33+R33+S33</f>
        <v>0</v>
      </c>
      <c r="U33" s="79">
        <f t="shared" si="13"/>
        <v>0</v>
      </c>
      <c r="V33" s="242">
        <f>T33*2.35</f>
        <v>0</v>
      </c>
      <c r="W33" s="80">
        <f t="shared" si="14"/>
        <v>0</v>
      </c>
    </row>
    <row r="34" ht="99.75" customHeight="1">
      <c r="B34" s="246" t="s">
        <v>199</v>
      </c>
      <c r="C34" s="119"/>
      <c r="D34" s="120">
        <v>1.0</v>
      </c>
      <c r="E34" s="120" t="s">
        <v>200</v>
      </c>
      <c r="F34" s="238">
        <v>196.0</v>
      </c>
      <c r="G34" s="121"/>
      <c r="H34" s="122"/>
      <c r="I34" s="123"/>
      <c r="J34" s="124"/>
      <c r="K34" s="247"/>
      <c r="L34" s="126"/>
      <c r="M34" s="127"/>
      <c r="N34" s="128"/>
      <c r="O34" s="129"/>
      <c r="P34" s="130"/>
      <c r="Q34" s="131"/>
      <c r="R34" s="132"/>
      <c r="S34" s="248"/>
      <c r="T34" s="134">
        <f>SUM(G34:S34)</f>
        <v>0</v>
      </c>
      <c r="U34" s="134">
        <f t="shared" si="13"/>
        <v>0</v>
      </c>
      <c r="V34" s="134">
        <f>T34*3.23</f>
        <v>0</v>
      </c>
      <c r="W34" s="135">
        <f t="shared" si="14"/>
        <v>0</v>
      </c>
    </row>
    <row r="35" ht="15.75" customHeight="1">
      <c r="B35" s="139"/>
      <c r="C35" s="139"/>
      <c r="D35" s="139"/>
      <c r="E35" s="139"/>
      <c r="F35" s="249"/>
      <c r="G35" s="136">
        <f t="shared" ref="G35:W35" si="17">SUM(G5:G34)</f>
        <v>0</v>
      </c>
      <c r="H35" s="136">
        <f t="shared" si="17"/>
        <v>0</v>
      </c>
      <c r="I35" s="136">
        <f t="shared" si="17"/>
        <v>0</v>
      </c>
      <c r="J35" s="136">
        <f t="shared" si="17"/>
        <v>0</v>
      </c>
      <c r="K35" s="136">
        <f t="shared" si="17"/>
        <v>0</v>
      </c>
      <c r="L35" s="136">
        <f t="shared" si="17"/>
        <v>0</v>
      </c>
      <c r="M35" s="136">
        <f t="shared" si="17"/>
        <v>0</v>
      </c>
      <c r="N35" s="136">
        <f t="shared" si="17"/>
        <v>0</v>
      </c>
      <c r="O35" s="136">
        <f t="shared" si="17"/>
        <v>0</v>
      </c>
      <c r="P35" s="136">
        <f t="shared" si="17"/>
        <v>0</v>
      </c>
      <c r="Q35" s="136">
        <f t="shared" si="17"/>
        <v>0</v>
      </c>
      <c r="R35" s="136">
        <f t="shared" si="17"/>
        <v>0</v>
      </c>
      <c r="S35" s="136">
        <f t="shared" si="17"/>
        <v>0</v>
      </c>
      <c r="T35" s="136">
        <f t="shared" si="17"/>
        <v>0</v>
      </c>
      <c r="U35" s="136">
        <f t="shared" si="17"/>
        <v>0</v>
      </c>
      <c r="V35" s="136">
        <f t="shared" si="17"/>
        <v>0</v>
      </c>
      <c r="W35" s="137">
        <f t="shared" si="17"/>
        <v>0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D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/>
  </sheetPr>
  <sheetViews>
    <sheetView workbookViewId="0"/>
  </sheetViews>
  <sheetFormatPr customHeight="1" defaultColWidth="14.43" defaultRowHeight="15.0"/>
  <cols>
    <col customWidth="1" min="2" max="2" width="11.86"/>
    <col customWidth="1" min="3" max="3" width="15.57"/>
    <col customWidth="1" min="4" max="4" width="10.71"/>
    <col customWidth="1" min="5" max="5" width="10.57"/>
    <col customWidth="1" min="6" max="6" width="13.43"/>
    <col customWidth="1" min="7" max="7" width="10.29"/>
    <col customWidth="1" min="8" max="9" width="10.43"/>
    <col customWidth="1" min="10" max="10" width="10.29"/>
    <col customWidth="1" min="11" max="11" width="10.14"/>
    <col customWidth="1" min="12" max="12" width="10.29"/>
    <col customWidth="1" min="13" max="13" width="10.71"/>
    <col customWidth="1" min="14" max="14" width="10.14"/>
    <col customWidth="1" min="15" max="15" width="10.0"/>
    <col customWidth="1" min="16" max="16" width="9.57"/>
    <col customWidth="1" min="17" max="17" width="9.86"/>
    <col customWidth="1" min="18" max="18" width="10.14"/>
    <col customWidth="1" min="19" max="19" width="10.57"/>
    <col customWidth="1" min="20" max="20" width="11.29"/>
    <col customWidth="1" min="21" max="21" width="12.14"/>
  </cols>
  <sheetData>
    <row r="2">
      <c r="F2" s="1"/>
    </row>
    <row r="3">
      <c r="B3" s="138" t="s">
        <v>201</v>
      </c>
      <c r="C3" s="3"/>
      <c r="D3" s="3"/>
      <c r="E3" s="139"/>
      <c r="F3" s="5"/>
      <c r="G3" s="140" t="s">
        <v>1</v>
      </c>
      <c r="H3" s="141" t="s">
        <v>2</v>
      </c>
      <c r="I3" s="142" t="s">
        <v>3</v>
      </c>
      <c r="J3" s="143" t="s">
        <v>4</v>
      </c>
      <c r="K3" s="144" t="s">
        <v>5</v>
      </c>
      <c r="L3" s="145" t="s">
        <v>6</v>
      </c>
      <c r="M3" s="146" t="s">
        <v>7</v>
      </c>
      <c r="N3" s="147" t="s">
        <v>8</v>
      </c>
      <c r="O3" s="148" t="s">
        <v>9</v>
      </c>
      <c r="P3" s="149" t="s">
        <v>10</v>
      </c>
      <c r="Q3" s="150" t="s">
        <v>11</v>
      </c>
      <c r="R3" s="151" t="s">
        <v>12</v>
      </c>
      <c r="S3" s="152" t="s">
        <v>13</v>
      </c>
      <c r="T3" s="4"/>
      <c r="U3" s="4"/>
      <c r="V3" s="4"/>
      <c r="W3" s="153"/>
    </row>
    <row r="4">
      <c r="B4" s="20" t="s">
        <v>14</v>
      </c>
      <c r="C4" s="21"/>
      <c r="D4" s="22" t="s">
        <v>16</v>
      </c>
      <c r="E4" s="22" t="s">
        <v>17</v>
      </c>
      <c r="F4" s="23" t="s">
        <v>18</v>
      </c>
      <c r="G4" s="154">
        <v>2.0</v>
      </c>
      <c r="H4" s="155">
        <v>5.0</v>
      </c>
      <c r="I4" s="156">
        <v>7.0</v>
      </c>
      <c r="J4" s="157">
        <v>10.0</v>
      </c>
      <c r="K4" s="158">
        <v>11.0</v>
      </c>
      <c r="L4" s="159">
        <v>12.0</v>
      </c>
      <c r="M4" s="160">
        <v>13.0</v>
      </c>
      <c r="N4" s="161">
        <v>16.0</v>
      </c>
      <c r="O4" s="162">
        <v>69.0</v>
      </c>
      <c r="P4" s="163">
        <v>76.0</v>
      </c>
      <c r="Q4" s="164">
        <v>77.0</v>
      </c>
      <c r="R4" s="165">
        <v>79.0</v>
      </c>
      <c r="S4" s="166">
        <v>81.0</v>
      </c>
      <c r="T4" s="165" t="s">
        <v>19</v>
      </c>
      <c r="U4" s="165" t="s">
        <v>20</v>
      </c>
      <c r="V4" s="165" t="s">
        <v>21</v>
      </c>
      <c r="W4" s="167" t="s">
        <v>85</v>
      </c>
    </row>
    <row r="5">
      <c r="B5" s="139"/>
      <c r="C5" s="139"/>
      <c r="D5" s="139"/>
      <c r="E5" s="139"/>
      <c r="F5" s="5"/>
      <c r="G5" s="4"/>
      <c r="H5" s="4"/>
      <c r="I5" s="4"/>
      <c r="J5" s="168"/>
      <c r="K5" s="4"/>
      <c r="L5" s="4"/>
      <c r="M5" s="4"/>
      <c r="N5" s="4"/>
      <c r="O5" s="4"/>
      <c r="P5" s="4"/>
      <c r="Q5" s="4"/>
      <c r="R5" s="4"/>
      <c r="S5" s="109"/>
      <c r="T5" s="4"/>
      <c r="U5" s="4"/>
      <c r="V5" s="4"/>
      <c r="W5" s="153"/>
    </row>
    <row r="6" ht="74.25" customHeight="1">
      <c r="B6" s="173" t="s">
        <v>202</v>
      </c>
      <c r="C6" s="65" t="s">
        <v>203</v>
      </c>
      <c r="D6" s="65">
        <v>6.0</v>
      </c>
      <c r="E6" s="65" t="s">
        <v>101</v>
      </c>
      <c r="F6" s="250"/>
      <c r="G6" s="66"/>
      <c r="H6" s="67"/>
      <c r="I6" s="68"/>
      <c r="J6" s="170"/>
      <c r="K6" s="70"/>
      <c r="L6" s="71"/>
      <c r="M6" s="72"/>
      <c r="N6" s="73"/>
      <c r="O6" s="74"/>
      <c r="P6" s="75"/>
      <c r="Q6" s="76"/>
      <c r="R6" s="77"/>
      <c r="S6" s="78"/>
      <c r="T6" s="79">
        <f t="shared" ref="T6:T15" si="1">SUM(G6:S6)</f>
        <v>0</v>
      </c>
      <c r="U6" s="79">
        <f t="shared" ref="U6:U15" si="2">T6*D6</f>
        <v>0</v>
      </c>
      <c r="V6" s="79"/>
      <c r="W6" s="172">
        <f t="shared" ref="W6:W15" si="3">T6*F6</f>
        <v>0</v>
      </c>
    </row>
    <row r="7" ht="89.25" customHeight="1">
      <c r="B7" s="173" t="s">
        <v>204</v>
      </c>
      <c r="C7" s="65" t="s">
        <v>203</v>
      </c>
      <c r="D7" s="65">
        <v>6.0</v>
      </c>
      <c r="E7" s="65" t="s">
        <v>205</v>
      </c>
      <c r="F7" s="250"/>
      <c r="G7" s="66"/>
      <c r="H7" s="67"/>
      <c r="I7" s="68"/>
      <c r="J7" s="69"/>
      <c r="K7" s="70"/>
      <c r="L7" s="71"/>
      <c r="M7" s="72"/>
      <c r="N7" s="73"/>
      <c r="O7" s="74"/>
      <c r="P7" s="75"/>
      <c r="Q7" s="76"/>
      <c r="R7" s="77"/>
      <c r="S7" s="78"/>
      <c r="T7" s="79">
        <f t="shared" si="1"/>
        <v>0</v>
      </c>
      <c r="U7" s="79">
        <f t="shared" si="2"/>
        <v>0</v>
      </c>
      <c r="V7" s="79"/>
      <c r="W7" s="172">
        <f t="shared" si="3"/>
        <v>0</v>
      </c>
    </row>
    <row r="8" ht="89.25" customHeight="1">
      <c r="B8" s="173" t="s">
        <v>206</v>
      </c>
      <c r="C8" s="65" t="s">
        <v>203</v>
      </c>
      <c r="D8" s="65">
        <v>6.0</v>
      </c>
      <c r="E8" s="65" t="s">
        <v>207</v>
      </c>
      <c r="F8" s="250"/>
      <c r="G8" s="66"/>
      <c r="H8" s="67"/>
      <c r="I8" s="68"/>
      <c r="J8" s="69"/>
      <c r="K8" s="70"/>
      <c r="L8" s="71"/>
      <c r="M8" s="72"/>
      <c r="N8" s="73"/>
      <c r="O8" s="74"/>
      <c r="P8" s="75"/>
      <c r="Q8" s="76"/>
      <c r="R8" s="77"/>
      <c r="S8" s="78"/>
      <c r="T8" s="79">
        <f t="shared" si="1"/>
        <v>0</v>
      </c>
      <c r="U8" s="79">
        <f t="shared" si="2"/>
        <v>0</v>
      </c>
      <c r="V8" s="79"/>
      <c r="W8" s="172">
        <f t="shared" si="3"/>
        <v>0</v>
      </c>
    </row>
    <row r="9" ht="87.0" customHeight="1">
      <c r="B9" s="173" t="s">
        <v>208</v>
      </c>
      <c r="C9" s="64"/>
      <c r="D9" s="65">
        <v>6.0</v>
      </c>
      <c r="E9" s="65" t="s">
        <v>209</v>
      </c>
      <c r="F9" s="174">
        <v>67.0</v>
      </c>
      <c r="G9" s="66"/>
      <c r="H9" s="67"/>
      <c r="I9" s="68"/>
      <c r="J9" s="69"/>
      <c r="K9" s="70"/>
      <c r="L9" s="71"/>
      <c r="M9" s="72"/>
      <c r="N9" s="73"/>
      <c r="O9" s="74"/>
      <c r="P9" s="75"/>
      <c r="Q9" s="76"/>
      <c r="R9" s="77"/>
      <c r="S9" s="78"/>
      <c r="T9" s="79">
        <f t="shared" si="1"/>
        <v>0</v>
      </c>
      <c r="U9" s="79">
        <f t="shared" si="2"/>
        <v>0</v>
      </c>
      <c r="V9" s="79">
        <f>T9*0.72</f>
        <v>0</v>
      </c>
      <c r="W9" s="172">
        <f t="shared" si="3"/>
        <v>0</v>
      </c>
    </row>
    <row r="10" ht="88.5" customHeight="1">
      <c r="B10" s="173" t="s">
        <v>210</v>
      </c>
      <c r="C10" s="64"/>
      <c r="D10" s="65">
        <v>6.0</v>
      </c>
      <c r="E10" s="65" t="s">
        <v>211</v>
      </c>
      <c r="F10" s="174">
        <v>86.0</v>
      </c>
      <c r="G10" s="66"/>
      <c r="H10" s="67"/>
      <c r="I10" s="68"/>
      <c r="J10" s="69"/>
      <c r="K10" s="70"/>
      <c r="L10" s="71"/>
      <c r="M10" s="72"/>
      <c r="N10" s="73"/>
      <c r="O10" s="74"/>
      <c r="P10" s="75"/>
      <c r="Q10" s="76"/>
      <c r="R10" s="77"/>
      <c r="S10" s="78"/>
      <c r="T10" s="79">
        <f t="shared" si="1"/>
        <v>0</v>
      </c>
      <c r="U10" s="79">
        <f t="shared" si="2"/>
        <v>0</v>
      </c>
      <c r="V10" s="79">
        <f>T10*1.1</f>
        <v>0</v>
      </c>
      <c r="W10" s="172">
        <f t="shared" si="3"/>
        <v>0</v>
      </c>
    </row>
    <row r="11" ht="90.75" customHeight="1">
      <c r="B11" s="251" t="s">
        <v>92</v>
      </c>
      <c r="C11" s="65"/>
      <c r="D11" s="65">
        <v>3.0</v>
      </c>
      <c r="E11" s="65" t="s">
        <v>212</v>
      </c>
      <c r="F11" s="174">
        <v>111.0</v>
      </c>
      <c r="G11" s="66"/>
      <c r="H11" s="67"/>
      <c r="I11" s="68"/>
      <c r="J11" s="69"/>
      <c r="K11" s="70"/>
      <c r="L11" s="71"/>
      <c r="M11" s="72"/>
      <c r="N11" s="73"/>
      <c r="O11" s="74"/>
      <c r="P11" s="75"/>
      <c r="Q11" s="76"/>
      <c r="R11" s="77"/>
      <c r="S11" s="78"/>
      <c r="T11" s="79">
        <f t="shared" si="1"/>
        <v>0</v>
      </c>
      <c r="U11" s="79">
        <f t="shared" si="2"/>
        <v>0</v>
      </c>
      <c r="V11" s="79">
        <f>T11*0.94</f>
        <v>0</v>
      </c>
      <c r="W11" s="172">
        <f t="shared" si="3"/>
        <v>0</v>
      </c>
    </row>
    <row r="12" ht="90.0" customHeight="1">
      <c r="B12" s="251" t="s">
        <v>213</v>
      </c>
      <c r="C12" s="65" t="s">
        <v>214</v>
      </c>
      <c r="D12" s="65">
        <v>3.0</v>
      </c>
      <c r="E12" s="65" t="s">
        <v>215</v>
      </c>
      <c r="F12" s="174">
        <v>108.0</v>
      </c>
      <c r="G12" s="66"/>
      <c r="H12" s="67"/>
      <c r="I12" s="68"/>
      <c r="J12" s="69"/>
      <c r="K12" s="70"/>
      <c r="L12" s="71"/>
      <c r="M12" s="72"/>
      <c r="N12" s="73"/>
      <c r="O12" s="74"/>
      <c r="P12" s="75"/>
      <c r="Q12" s="76"/>
      <c r="R12" s="77"/>
      <c r="S12" s="78"/>
      <c r="T12" s="79">
        <f t="shared" si="1"/>
        <v>0</v>
      </c>
      <c r="U12" s="79">
        <f t="shared" si="2"/>
        <v>0</v>
      </c>
      <c r="V12" s="79"/>
      <c r="W12" s="172">
        <f t="shared" si="3"/>
        <v>0</v>
      </c>
    </row>
    <row r="13" ht="91.5" customHeight="1">
      <c r="B13" s="251" t="s">
        <v>216</v>
      </c>
      <c r="C13" s="65"/>
      <c r="D13" s="65">
        <v>2.0</v>
      </c>
      <c r="E13" s="65" t="s">
        <v>217</v>
      </c>
      <c r="F13" s="174">
        <v>100.0</v>
      </c>
      <c r="G13" s="66"/>
      <c r="H13" s="67"/>
      <c r="I13" s="68"/>
      <c r="J13" s="69"/>
      <c r="K13" s="70"/>
      <c r="L13" s="71"/>
      <c r="M13" s="72"/>
      <c r="N13" s="73"/>
      <c r="O13" s="74"/>
      <c r="P13" s="75"/>
      <c r="Q13" s="76"/>
      <c r="R13" s="77"/>
      <c r="S13" s="78"/>
      <c r="T13" s="79">
        <f t="shared" si="1"/>
        <v>0</v>
      </c>
      <c r="U13" s="79">
        <f t="shared" si="2"/>
        <v>0</v>
      </c>
      <c r="V13" s="79">
        <f>T11*0.98</f>
        <v>0</v>
      </c>
      <c r="W13" s="172">
        <f t="shared" si="3"/>
        <v>0</v>
      </c>
    </row>
    <row r="14" ht="89.25" customHeight="1">
      <c r="B14" s="252" t="s">
        <v>218</v>
      </c>
      <c r="C14" s="83"/>
      <c r="D14" s="83">
        <v>2.0</v>
      </c>
      <c r="E14" s="83" t="s">
        <v>219</v>
      </c>
      <c r="F14" s="253">
        <v>128.0</v>
      </c>
      <c r="G14" s="66"/>
      <c r="H14" s="67"/>
      <c r="I14" s="68"/>
      <c r="J14" s="69"/>
      <c r="K14" s="70"/>
      <c r="L14" s="71"/>
      <c r="M14" s="72"/>
      <c r="N14" s="73"/>
      <c r="O14" s="74"/>
      <c r="P14" s="75"/>
      <c r="Q14" s="76"/>
      <c r="R14" s="254"/>
      <c r="S14" s="78"/>
      <c r="T14" s="79">
        <f t="shared" si="1"/>
        <v>0</v>
      </c>
      <c r="U14" s="79">
        <f t="shared" si="2"/>
        <v>0</v>
      </c>
      <c r="V14" s="79"/>
      <c r="W14" s="172">
        <f t="shared" si="3"/>
        <v>0</v>
      </c>
    </row>
    <row r="15" ht="90.0" customHeight="1">
      <c r="B15" s="252" t="s">
        <v>220</v>
      </c>
      <c r="C15" s="82"/>
      <c r="D15" s="83">
        <v>7.0</v>
      </c>
      <c r="E15" s="83" t="s">
        <v>221</v>
      </c>
      <c r="F15" s="255">
        <v>1600.0</v>
      </c>
      <c r="G15" s="66"/>
      <c r="H15" s="67"/>
      <c r="I15" s="68"/>
      <c r="J15" s="69"/>
      <c r="K15" s="70"/>
      <c r="L15" s="71"/>
      <c r="M15" s="72"/>
      <c r="N15" s="73"/>
      <c r="O15" s="74"/>
      <c r="P15" s="75"/>
      <c r="Q15" s="76"/>
      <c r="R15" s="254"/>
      <c r="S15" s="78"/>
      <c r="T15" s="79">
        <f t="shared" si="1"/>
        <v>0</v>
      </c>
      <c r="U15" s="79">
        <f t="shared" si="2"/>
        <v>0</v>
      </c>
      <c r="V15" s="79"/>
      <c r="W15" s="172">
        <f t="shared" si="3"/>
        <v>0</v>
      </c>
    </row>
    <row r="16">
      <c r="G16" s="222">
        <f t="shared" ref="G16:W16" si="4">SUM(G6:G15)</f>
        <v>0</v>
      </c>
      <c r="H16" s="222">
        <f t="shared" si="4"/>
        <v>0</v>
      </c>
      <c r="I16" s="222">
        <f t="shared" si="4"/>
        <v>0</v>
      </c>
      <c r="J16" s="222">
        <f t="shared" si="4"/>
        <v>0</v>
      </c>
      <c r="K16" s="222">
        <f t="shared" si="4"/>
        <v>0</v>
      </c>
      <c r="L16" s="222">
        <f t="shared" si="4"/>
        <v>0</v>
      </c>
      <c r="M16" s="222">
        <f t="shared" si="4"/>
        <v>0</v>
      </c>
      <c r="N16" s="222">
        <f t="shared" si="4"/>
        <v>0</v>
      </c>
      <c r="O16" s="222">
        <f t="shared" si="4"/>
        <v>0</v>
      </c>
      <c r="P16" s="222">
        <f t="shared" si="4"/>
        <v>0</v>
      </c>
      <c r="Q16" s="222">
        <f t="shared" si="4"/>
        <v>0</v>
      </c>
      <c r="R16" s="222">
        <f t="shared" si="4"/>
        <v>0</v>
      </c>
      <c r="S16" s="222">
        <f t="shared" si="4"/>
        <v>0</v>
      </c>
      <c r="T16" s="222">
        <f t="shared" si="4"/>
        <v>0</v>
      </c>
      <c r="U16" s="222">
        <f t="shared" si="4"/>
        <v>0</v>
      </c>
      <c r="V16" s="222">
        <f t="shared" si="4"/>
        <v>0</v>
      </c>
      <c r="W16" s="223">
        <f t="shared" si="4"/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3:D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3.29"/>
    <col customWidth="1" min="3" max="3" width="19.29"/>
    <col customWidth="1" min="4" max="4" width="11.14"/>
    <col customWidth="1" min="5" max="5" width="9.14"/>
    <col customWidth="1" min="6" max="6" width="11.29"/>
    <col customWidth="1" min="7" max="22" width="9.14"/>
    <col customWidth="1" min="23" max="23" width="11.71"/>
  </cols>
  <sheetData>
    <row r="1">
      <c r="F1" s="1"/>
    </row>
    <row r="2">
      <c r="B2" s="256" t="s">
        <v>222</v>
      </c>
      <c r="F2" s="1"/>
    </row>
    <row r="3" ht="34.5" customHeight="1">
      <c r="F3" s="1"/>
      <c r="G3" s="140" t="s">
        <v>1</v>
      </c>
      <c r="H3" s="141" t="s">
        <v>2</v>
      </c>
      <c r="I3" s="178" t="s">
        <v>3</v>
      </c>
      <c r="J3" s="143" t="s">
        <v>4</v>
      </c>
      <c r="K3" s="179" t="s">
        <v>5</v>
      </c>
      <c r="L3" s="145" t="s">
        <v>6</v>
      </c>
      <c r="M3" s="146" t="s">
        <v>7</v>
      </c>
      <c r="N3" s="147" t="s">
        <v>8</v>
      </c>
      <c r="O3" s="148" t="s">
        <v>9</v>
      </c>
      <c r="P3" s="149" t="s">
        <v>10</v>
      </c>
      <c r="Q3" s="150" t="s">
        <v>11</v>
      </c>
      <c r="R3" s="151" t="s">
        <v>12</v>
      </c>
      <c r="S3" s="152" t="s">
        <v>13</v>
      </c>
    </row>
    <row r="4">
      <c r="B4" s="20" t="s">
        <v>14</v>
      </c>
      <c r="C4" s="21" t="s">
        <v>141</v>
      </c>
      <c r="D4" s="22" t="s">
        <v>16</v>
      </c>
      <c r="E4" s="22" t="s">
        <v>17</v>
      </c>
      <c r="F4" s="23" t="s">
        <v>223</v>
      </c>
      <c r="G4" s="224">
        <v>2.0</v>
      </c>
      <c r="H4" s="225">
        <v>5.0</v>
      </c>
      <c r="I4" s="226">
        <v>7.0</v>
      </c>
      <c r="J4" s="227">
        <v>10.0</v>
      </c>
      <c r="K4" s="228">
        <v>11.0</v>
      </c>
      <c r="L4" s="229">
        <v>12.0</v>
      </c>
      <c r="M4" s="230">
        <v>13.0</v>
      </c>
      <c r="N4" s="231">
        <v>16.0</v>
      </c>
      <c r="O4" s="232">
        <v>69.0</v>
      </c>
      <c r="P4" s="233">
        <v>76.0</v>
      </c>
      <c r="Q4" s="234">
        <v>77.0</v>
      </c>
      <c r="R4" s="235">
        <v>79.0</v>
      </c>
      <c r="S4" s="236">
        <v>81.0</v>
      </c>
      <c r="T4" s="165" t="s">
        <v>19</v>
      </c>
      <c r="U4" s="165" t="s">
        <v>20</v>
      </c>
      <c r="V4" s="165" t="s">
        <v>21</v>
      </c>
      <c r="W4" s="167" t="s">
        <v>85</v>
      </c>
    </row>
    <row r="5">
      <c r="B5" s="257"/>
      <c r="C5" s="257"/>
      <c r="D5" s="257"/>
      <c r="E5" s="257"/>
      <c r="F5" s="258"/>
      <c r="G5" s="259"/>
      <c r="H5" s="259"/>
      <c r="I5" s="259"/>
      <c r="J5" s="260"/>
      <c r="K5" s="259"/>
      <c r="L5" s="259"/>
      <c r="M5" s="259"/>
      <c r="N5" s="259"/>
      <c r="O5" s="259"/>
      <c r="P5" s="259"/>
      <c r="Q5" s="259"/>
      <c r="R5" s="259"/>
      <c r="S5" s="260"/>
      <c r="T5" s="259"/>
      <c r="U5" s="259"/>
      <c r="V5" s="259"/>
      <c r="W5" s="261"/>
    </row>
    <row r="6" ht="99.75" customHeight="1">
      <c r="B6" s="182" t="s">
        <v>224</v>
      </c>
      <c r="C6" s="183"/>
      <c r="D6" s="184">
        <v>15.0</v>
      </c>
      <c r="E6" s="184" t="s">
        <v>225</v>
      </c>
      <c r="F6" s="46">
        <v>61.0</v>
      </c>
      <c r="G6" s="186"/>
      <c r="H6" s="187"/>
      <c r="I6" s="188"/>
      <c r="J6" s="189"/>
      <c r="K6" s="262"/>
      <c r="L6" s="191"/>
      <c r="M6" s="192"/>
      <c r="N6" s="193"/>
      <c r="O6" s="194"/>
      <c r="P6" s="195"/>
      <c r="Q6" s="196"/>
      <c r="R6" s="197"/>
      <c r="S6" s="198"/>
      <c r="T6" s="199">
        <f t="shared" ref="T6:T28" si="1">SUM(G6:S6)</f>
        <v>0</v>
      </c>
      <c r="U6" s="199">
        <f t="shared" ref="U6:U28" si="2">D6*T6</f>
        <v>0</v>
      </c>
      <c r="V6" s="199">
        <f>T6*0.28</f>
        <v>0</v>
      </c>
      <c r="W6" s="200">
        <f t="shared" ref="W6:W7" si="3">F6*T6</f>
        <v>0</v>
      </c>
    </row>
    <row r="7" ht="99.75" customHeight="1">
      <c r="B7" s="182" t="s">
        <v>110</v>
      </c>
      <c r="C7" s="183"/>
      <c r="D7" s="184">
        <v>10.0</v>
      </c>
      <c r="E7" s="184" t="s">
        <v>226</v>
      </c>
      <c r="F7" s="46">
        <v>72.0</v>
      </c>
      <c r="G7" s="186"/>
      <c r="H7" s="187"/>
      <c r="I7" s="188"/>
      <c r="J7" s="189"/>
      <c r="K7" s="262"/>
      <c r="L7" s="191"/>
      <c r="M7" s="192"/>
      <c r="N7" s="193"/>
      <c r="O7" s="194"/>
      <c r="P7" s="195"/>
      <c r="Q7" s="196"/>
      <c r="R7" s="197"/>
      <c r="S7" s="198"/>
      <c r="T7" s="199">
        <f t="shared" si="1"/>
        <v>0</v>
      </c>
      <c r="U7" s="199">
        <f t="shared" si="2"/>
        <v>0</v>
      </c>
      <c r="V7" s="199">
        <f>T7*0.77</f>
        <v>0</v>
      </c>
      <c r="W7" s="200">
        <f t="shared" si="3"/>
        <v>0</v>
      </c>
    </row>
    <row r="8" ht="99.75" customHeight="1">
      <c r="B8" s="182" t="s">
        <v>227</v>
      </c>
      <c r="C8" s="183"/>
      <c r="D8" s="184">
        <v>5.0</v>
      </c>
      <c r="E8" s="184" t="s">
        <v>228</v>
      </c>
      <c r="F8" s="46">
        <v>48.0</v>
      </c>
      <c r="G8" s="186"/>
      <c r="H8" s="187"/>
      <c r="I8" s="188"/>
      <c r="J8" s="189"/>
      <c r="K8" s="262"/>
      <c r="L8" s="191"/>
      <c r="M8" s="192"/>
      <c r="N8" s="193"/>
      <c r="O8" s="194"/>
      <c r="P8" s="195"/>
      <c r="Q8" s="196"/>
      <c r="R8" s="197"/>
      <c r="S8" s="198"/>
      <c r="T8" s="199">
        <f t="shared" si="1"/>
        <v>0</v>
      </c>
      <c r="U8" s="199">
        <f t="shared" si="2"/>
        <v>0</v>
      </c>
      <c r="V8" s="199">
        <f>T8*0.6</f>
        <v>0</v>
      </c>
      <c r="W8" s="200">
        <f t="shared" ref="W8:W9" si="4">T8*F8</f>
        <v>0</v>
      </c>
    </row>
    <row r="9" ht="99.75" customHeight="1">
      <c r="B9" s="201" t="s">
        <v>229</v>
      </c>
      <c r="C9" s="183"/>
      <c r="D9" s="184">
        <v>10.0</v>
      </c>
      <c r="E9" s="184" t="s">
        <v>230</v>
      </c>
      <c r="F9" s="46">
        <v>42.0</v>
      </c>
      <c r="G9" s="186"/>
      <c r="H9" s="187"/>
      <c r="I9" s="188"/>
      <c r="J9" s="189"/>
      <c r="K9" s="262"/>
      <c r="L9" s="191"/>
      <c r="M9" s="192"/>
      <c r="N9" s="193"/>
      <c r="O9" s="194"/>
      <c r="P9" s="195"/>
      <c r="Q9" s="196"/>
      <c r="R9" s="197"/>
      <c r="S9" s="198"/>
      <c r="T9" s="199">
        <f t="shared" si="1"/>
        <v>0</v>
      </c>
      <c r="U9" s="199">
        <f t="shared" si="2"/>
        <v>0</v>
      </c>
      <c r="V9" s="199">
        <f>T9*0.2</f>
        <v>0</v>
      </c>
      <c r="W9" s="200">
        <f t="shared" si="4"/>
        <v>0</v>
      </c>
    </row>
    <row r="10" ht="99.75" customHeight="1">
      <c r="B10" s="182" t="s">
        <v>231</v>
      </c>
      <c r="C10" s="183"/>
      <c r="D10" s="184">
        <v>5.0</v>
      </c>
      <c r="E10" s="184" t="s">
        <v>232</v>
      </c>
      <c r="F10" s="46">
        <v>27.0</v>
      </c>
      <c r="G10" s="186"/>
      <c r="H10" s="187"/>
      <c r="I10" s="188"/>
      <c r="J10" s="189"/>
      <c r="K10" s="262"/>
      <c r="L10" s="191"/>
      <c r="M10" s="192"/>
      <c r="N10" s="193"/>
      <c r="O10" s="194"/>
      <c r="P10" s="195"/>
      <c r="Q10" s="196"/>
      <c r="R10" s="197"/>
      <c r="S10" s="198"/>
      <c r="T10" s="199">
        <f t="shared" si="1"/>
        <v>0</v>
      </c>
      <c r="U10" s="199">
        <f t="shared" si="2"/>
        <v>0</v>
      </c>
      <c r="V10" s="199">
        <f>T10*0.15</f>
        <v>0</v>
      </c>
      <c r="W10" s="200">
        <f t="shared" ref="W10:W28" si="5">F10*T10</f>
        <v>0</v>
      </c>
    </row>
    <row r="11" ht="99.75" customHeight="1">
      <c r="B11" s="182" t="s">
        <v>233</v>
      </c>
      <c r="C11" s="183"/>
      <c r="D11" s="184">
        <v>5.0</v>
      </c>
      <c r="E11" s="184" t="s">
        <v>234</v>
      </c>
      <c r="F11" s="46">
        <v>31.0</v>
      </c>
      <c r="G11" s="186"/>
      <c r="H11" s="187"/>
      <c r="I11" s="188"/>
      <c r="J11" s="189"/>
      <c r="K11" s="262"/>
      <c r="L11" s="191"/>
      <c r="M11" s="192"/>
      <c r="N11" s="193"/>
      <c r="O11" s="194"/>
      <c r="P11" s="195"/>
      <c r="Q11" s="196"/>
      <c r="R11" s="197"/>
      <c r="S11" s="198"/>
      <c r="T11" s="199">
        <f t="shared" si="1"/>
        <v>0</v>
      </c>
      <c r="U11" s="199">
        <f t="shared" si="2"/>
        <v>0</v>
      </c>
      <c r="V11" s="199">
        <f t="shared" ref="V11:V12" si="6">T11*0.6</f>
        <v>0</v>
      </c>
      <c r="W11" s="200">
        <f t="shared" si="5"/>
        <v>0</v>
      </c>
    </row>
    <row r="12" ht="99.75" customHeight="1">
      <c r="B12" s="116" t="s">
        <v>235</v>
      </c>
      <c r="C12" s="117"/>
      <c r="D12" s="65">
        <v>10.0</v>
      </c>
      <c r="E12" s="65" t="s">
        <v>236</v>
      </c>
      <c r="F12" s="46">
        <v>62.0</v>
      </c>
      <c r="G12" s="66"/>
      <c r="H12" s="67"/>
      <c r="I12" s="68"/>
      <c r="J12" s="69"/>
      <c r="K12" s="243"/>
      <c r="L12" s="71"/>
      <c r="M12" s="72"/>
      <c r="N12" s="73"/>
      <c r="O12" s="74"/>
      <c r="P12" s="75"/>
      <c r="Q12" s="76"/>
      <c r="R12" s="77"/>
      <c r="S12" s="78"/>
      <c r="T12" s="79">
        <f t="shared" si="1"/>
        <v>0</v>
      </c>
      <c r="U12" s="79">
        <f t="shared" si="2"/>
        <v>0</v>
      </c>
      <c r="V12" s="79">
        <f t="shared" si="6"/>
        <v>0</v>
      </c>
      <c r="W12" s="80">
        <f t="shared" si="5"/>
        <v>0</v>
      </c>
    </row>
    <row r="13" ht="99.75" customHeight="1">
      <c r="B13" s="63" t="s">
        <v>237</v>
      </c>
      <c r="C13" s="117"/>
      <c r="D13" s="65">
        <v>5.0</v>
      </c>
      <c r="E13" s="65" t="s">
        <v>238</v>
      </c>
      <c r="F13" s="46">
        <v>90.0</v>
      </c>
      <c r="G13" s="66"/>
      <c r="H13" s="67"/>
      <c r="I13" s="68"/>
      <c r="J13" s="69"/>
      <c r="K13" s="243"/>
      <c r="L13" s="71"/>
      <c r="M13" s="72"/>
      <c r="N13" s="73"/>
      <c r="O13" s="74"/>
      <c r="P13" s="75"/>
      <c r="Q13" s="76"/>
      <c r="R13" s="77"/>
      <c r="S13" s="78"/>
      <c r="T13" s="79">
        <f t="shared" si="1"/>
        <v>0</v>
      </c>
      <c r="U13" s="79">
        <f t="shared" si="2"/>
        <v>0</v>
      </c>
      <c r="V13" s="79">
        <f>T13*1.5</f>
        <v>0</v>
      </c>
      <c r="W13" s="80">
        <f t="shared" si="5"/>
        <v>0</v>
      </c>
    </row>
    <row r="14" ht="99.75" customHeight="1">
      <c r="B14" s="116" t="s">
        <v>239</v>
      </c>
      <c r="C14" s="117"/>
      <c r="D14" s="65">
        <v>10.0</v>
      </c>
      <c r="E14" s="65" t="s">
        <v>240</v>
      </c>
      <c r="F14" s="46">
        <v>88.0</v>
      </c>
      <c r="G14" s="66"/>
      <c r="H14" s="67"/>
      <c r="I14" s="68"/>
      <c r="J14" s="69"/>
      <c r="K14" s="243"/>
      <c r="L14" s="71"/>
      <c r="M14" s="72"/>
      <c r="N14" s="73"/>
      <c r="O14" s="74"/>
      <c r="P14" s="75"/>
      <c r="Q14" s="76"/>
      <c r="R14" s="77"/>
      <c r="S14" s="78"/>
      <c r="T14" s="79">
        <f t="shared" si="1"/>
        <v>0</v>
      </c>
      <c r="U14" s="79">
        <f t="shared" si="2"/>
        <v>0</v>
      </c>
      <c r="V14" s="79">
        <f>T14*1.15</f>
        <v>0</v>
      </c>
      <c r="W14" s="80">
        <f t="shared" si="5"/>
        <v>0</v>
      </c>
    </row>
    <row r="15" ht="99.75" customHeight="1">
      <c r="B15" s="63" t="s">
        <v>241</v>
      </c>
      <c r="C15" s="117"/>
      <c r="D15" s="65">
        <v>5.0</v>
      </c>
      <c r="E15" s="65" t="s">
        <v>242</v>
      </c>
      <c r="F15" s="46">
        <v>41.0</v>
      </c>
      <c r="G15" s="66"/>
      <c r="H15" s="67"/>
      <c r="I15" s="68"/>
      <c r="J15" s="69"/>
      <c r="K15" s="243"/>
      <c r="L15" s="71"/>
      <c r="M15" s="72"/>
      <c r="N15" s="73"/>
      <c r="O15" s="74"/>
      <c r="P15" s="75"/>
      <c r="Q15" s="76"/>
      <c r="R15" s="77"/>
      <c r="S15" s="78"/>
      <c r="T15" s="79">
        <f t="shared" si="1"/>
        <v>0</v>
      </c>
      <c r="U15" s="79">
        <f t="shared" si="2"/>
        <v>0</v>
      </c>
      <c r="V15" s="79">
        <f>T15*0.45</f>
        <v>0</v>
      </c>
      <c r="W15" s="80">
        <f t="shared" si="5"/>
        <v>0</v>
      </c>
    </row>
    <row r="16" ht="99.75" customHeight="1">
      <c r="B16" s="63" t="s">
        <v>243</v>
      </c>
      <c r="C16" s="117"/>
      <c r="D16" s="65">
        <v>5.0</v>
      </c>
      <c r="E16" s="65" t="s">
        <v>244</v>
      </c>
      <c r="F16" s="46">
        <v>100.0</v>
      </c>
      <c r="G16" s="66"/>
      <c r="H16" s="67"/>
      <c r="I16" s="68"/>
      <c r="J16" s="69"/>
      <c r="K16" s="243"/>
      <c r="L16" s="71"/>
      <c r="M16" s="72"/>
      <c r="N16" s="73"/>
      <c r="O16" s="74"/>
      <c r="P16" s="75"/>
      <c r="Q16" s="76"/>
      <c r="R16" s="77"/>
      <c r="S16" s="78"/>
      <c r="T16" s="79">
        <f t="shared" si="1"/>
        <v>0</v>
      </c>
      <c r="U16" s="79">
        <f t="shared" si="2"/>
        <v>0</v>
      </c>
      <c r="V16" s="79">
        <f>T16*1.7</f>
        <v>0</v>
      </c>
      <c r="W16" s="80">
        <f t="shared" si="5"/>
        <v>0</v>
      </c>
    </row>
    <row r="17" ht="99.75" customHeight="1">
      <c r="B17" s="116" t="s">
        <v>245</v>
      </c>
      <c r="C17" s="117"/>
      <c r="D17" s="65">
        <v>10.0</v>
      </c>
      <c r="E17" s="65" t="s">
        <v>246</v>
      </c>
      <c r="F17" s="46">
        <v>134.0</v>
      </c>
      <c r="G17" s="66"/>
      <c r="H17" s="67"/>
      <c r="I17" s="68"/>
      <c r="J17" s="69"/>
      <c r="K17" s="243"/>
      <c r="L17" s="71"/>
      <c r="M17" s="72"/>
      <c r="N17" s="73"/>
      <c r="O17" s="74"/>
      <c r="P17" s="75"/>
      <c r="Q17" s="76"/>
      <c r="R17" s="77"/>
      <c r="S17" s="78"/>
      <c r="T17" s="79">
        <f t="shared" si="1"/>
        <v>0</v>
      </c>
      <c r="U17" s="79">
        <f t="shared" si="2"/>
        <v>0</v>
      </c>
      <c r="V17" s="79">
        <f>T17*2.14</f>
        <v>0</v>
      </c>
      <c r="W17" s="80">
        <f t="shared" si="5"/>
        <v>0</v>
      </c>
    </row>
    <row r="18" ht="99.75" customHeight="1">
      <c r="B18" s="116" t="s">
        <v>247</v>
      </c>
      <c r="C18" s="117"/>
      <c r="D18" s="65">
        <v>5.0</v>
      </c>
      <c r="E18" s="65" t="s">
        <v>248</v>
      </c>
      <c r="F18" s="112">
        <v>70.0</v>
      </c>
      <c r="G18" s="66"/>
      <c r="H18" s="67"/>
      <c r="I18" s="68"/>
      <c r="J18" s="69"/>
      <c r="K18" s="70"/>
      <c r="L18" s="71"/>
      <c r="M18" s="72"/>
      <c r="N18" s="73"/>
      <c r="O18" s="74"/>
      <c r="P18" s="75"/>
      <c r="Q18" s="76"/>
      <c r="R18" s="77"/>
      <c r="S18" s="78"/>
      <c r="T18" s="79">
        <f t="shared" si="1"/>
        <v>0</v>
      </c>
      <c r="U18" s="79">
        <f t="shared" si="2"/>
        <v>0</v>
      </c>
      <c r="V18" s="79">
        <f>T18*1.1</f>
        <v>0</v>
      </c>
      <c r="W18" s="80">
        <f t="shared" si="5"/>
        <v>0</v>
      </c>
    </row>
    <row r="19" ht="99.75" customHeight="1">
      <c r="B19" s="116" t="s">
        <v>249</v>
      </c>
      <c r="C19" s="117"/>
      <c r="D19" s="65">
        <v>10.0</v>
      </c>
      <c r="E19" s="65" t="s">
        <v>250</v>
      </c>
      <c r="F19" s="46">
        <v>197.0</v>
      </c>
      <c r="G19" s="66"/>
      <c r="H19" s="67"/>
      <c r="I19" s="68"/>
      <c r="J19" s="69"/>
      <c r="K19" s="70"/>
      <c r="L19" s="71"/>
      <c r="M19" s="72"/>
      <c r="N19" s="73"/>
      <c r="O19" s="74"/>
      <c r="P19" s="75"/>
      <c r="Q19" s="76"/>
      <c r="R19" s="77"/>
      <c r="S19" s="78"/>
      <c r="T19" s="79">
        <f t="shared" si="1"/>
        <v>0</v>
      </c>
      <c r="U19" s="79">
        <f t="shared" si="2"/>
        <v>0</v>
      </c>
      <c r="V19" s="79">
        <f>T19*3.46</f>
        <v>0</v>
      </c>
      <c r="W19" s="80">
        <f t="shared" si="5"/>
        <v>0</v>
      </c>
    </row>
    <row r="20" ht="99.75" customHeight="1">
      <c r="B20" s="63" t="s">
        <v>251</v>
      </c>
      <c r="C20" s="117"/>
      <c r="D20" s="65">
        <v>5.0</v>
      </c>
      <c r="E20" s="65" t="s">
        <v>252</v>
      </c>
      <c r="F20" s="46">
        <v>123.0</v>
      </c>
      <c r="G20" s="66"/>
      <c r="H20" s="67"/>
      <c r="I20" s="68"/>
      <c r="J20" s="69"/>
      <c r="K20" s="70"/>
      <c r="L20" s="71"/>
      <c r="M20" s="72"/>
      <c r="N20" s="73"/>
      <c r="O20" s="74"/>
      <c r="P20" s="75"/>
      <c r="Q20" s="76"/>
      <c r="R20" s="77"/>
      <c r="S20" s="78"/>
      <c r="T20" s="79">
        <f t="shared" si="1"/>
        <v>0</v>
      </c>
      <c r="U20" s="79">
        <f t="shared" si="2"/>
        <v>0</v>
      </c>
      <c r="V20" s="79">
        <f>T20*2.18</f>
        <v>0</v>
      </c>
      <c r="W20" s="80">
        <f t="shared" si="5"/>
        <v>0</v>
      </c>
    </row>
    <row r="21" ht="99.75" customHeight="1">
      <c r="B21" s="116" t="s">
        <v>253</v>
      </c>
      <c r="C21" s="117"/>
      <c r="D21" s="65">
        <v>10.0</v>
      </c>
      <c r="E21" s="65" t="s">
        <v>254</v>
      </c>
      <c r="F21" s="46">
        <v>261.0</v>
      </c>
      <c r="G21" s="66"/>
      <c r="H21" s="67"/>
      <c r="I21" s="68"/>
      <c r="J21" s="69"/>
      <c r="K21" s="70"/>
      <c r="L21" s="71"/>
      <c r="M21" s="72"/>
      <c r="N21" s="73"/>
      <c r="O21" s="74"/>
      <c r="P21" s="75"/>
      <c r="Q21" s="76"/>
      <c r="R21" s="77"/>
      <c r="S21" s="78"/>
      <c r="T21" s="79">
        <f t="shared" si="1"/>
        <v>0</v>
      </c>
      <c r="U21" s="79">
        <f t="shared" si="2"/>
        <v>0</v>
      </c>
      <c r="V21" s="79">
        <f>T21*2.46</f>
        <v>0</v>
      </c>
      <c r="W21" s="80">
        <f t="shared" si="5"/>
        <v>0</v>
      </c>
    </row>
    <row r="22" ht="99.75" customHeight="1">
      <c r="B22" s="116" t="s">
        <v>255</v>
      </c>
      <c r="C22" s="117"/>
      <c r="D22" s="65">
        <v>5.0</v>
      </c>
      <c r="E22" s="65" t="s">
        <v>256</v>
      </c>
      <c r="F22" s="46">
        <v>237.0</v>
      </c>
      <c r="G22" s="66"/>
      <c r="H22" s="67"/>
      <c r="I22" s="68"/>
      <c r="J22" s="69"/>
      <c r="K22" s="70"/>
      <c r="L22" s="71"/>
      <c r="M22" s="72"/>
      <c r="N22" s="73"/>
      <c r="O22" s="74"/>
      <c r="P22" s="75"/>
      <c r="Q22" s="76"/>
      <c r="R22" s="77"/>
      <c r="S22" s="78"/>
      <c r="T22" s="79">
        <f t="shared" si="1"/>
        <v>0</v>
      </c>
      <c r="U22" s="79">
        <f t="shared" si="2"/>
        <v>0</v>
      </c>
      <c r="V22" s="79">
        <f>T22*3.08</f>
        <v>0</v>
      </c>
      <c r="W22" s="80">
        <f t="shared" si="5"/>
        <v>0</v>
      </c>
    </row>
    <row r="23" ht="99.75" customHeight="1">
      <c r="B23" s="116" t="s">
        <v>257</v>
      </c>
      <c r="C23" s="117"/>
      <c r="D23" s="65">
        <v>5.0</v>
      </c>
      <c r="E23" s="65" t="s">
        <v>258</v>
      </c>
      <c r="F23" s="46">
        <v>226.0</v>
      </c>
      <c r="G23" s="66"/>
      <c r="H23" s="67"/>
      <c r="I23" s="68"/>
      <c r="J23" s="69"/>
      <c r="K23" s="70"/>
      <c r="L23" s="71"/>
      <c r="M23" s="72"/>
      <c r="N23" s="73"/>
      <c r="O23" s="74"/>
      <c r="P23" s="75"/>
      <c r="Q23" s="76"/>
      <c r="R23" s="77"/>
      <c r="S23" s="78"/>
      <c r="T23" s="79">
        <f t="shared" si="1"/>
        <v>0</v>
      </c>
      <c r="U23" s="79">
        <f t="shared" si="2"/>
        <v>0</v>
      </c>
      <c r="V23" s="79">
        <f>T23*2.9</f>
        <v>0</v>
      </c>
      <c r="W23" s="80">
        <f t="shared" si="5"/>
        <v>0</v>
      </c>
    </row>
    <row r="24" ht="99.75" customHeight="1">
      <c r="B24" s="116" t="s">
        <v>259</v>
      </c>
      <c r="C24" s="117"/>
      <c r="D24" s="65">
        <v>5.0</v>
      </c>
      <c r="E24" s="65" t="s">
        <v>260</v>
      </c>
      <c r="F24" s="46">
        <v>391.0</v>
      </c>
      <c r="G24" s="66"/>
      <c r="H24" s="67"/>
      <c r="I24" s="68"/>
      <c r="J24" s="69"/>
      <c r="K24" s="70"/>
      <c r="L24" s="71"/>
      <c r="M24" s="72"/>
      <c r="N24" s="73"/>
      <c r="O24" s="74"/>
      <c r="P24" s="75"/>
      <c r="Q24" s="76"/>
      <c r="R24" s="77"/>
      <c r="S24" s="78"/>
      <c r="T24" s="79">
        <f t="shared" si="1"/>
        <v>0</v>
      </c>
      <c r="U24" s="79">
        <f t="shared" si="2"/>
        <v>0</v>
      </c>
      <c r="V24" s="79">
        <f>T24*5.85</f>
        <v>0</v>
      </c>
      <c r="W24" s="80">
        <f t="shared" si="5"/>
        <v>0</v>
      </c>
    </row>
    <row r="25" ht="99.75" customHeight="1">
      <c r="B25" s="116" t="s">
        <v>261</v>
      </c>
      <c r="C25" s="117"/>
      <c r="D25" s="65">
        <v>2.0</v>
      </c>
      <c r="E25" s="65" t="s">
        <v>262</v>
      </c>
      <c r="F25" s="46">
        <v>213.0</v>
      </c>
      <c r="G25" s="66"/>
      <c r="H25" s="67"/>
      <c r="I25" s="68"/>
      <c r="J25" s="69"/>
      <c r="K25" s="70"/>
      <c r="L25" s="71"/>
      <c r="M25" s="72"/>
      <c r="N25" s="73"/>
      <c r="O25" s="74"/>
      <c r="P25" s="75"/>
      <c r="Q25" s="76"/>
      <c r="R25" s="77"/>
      <c r="S25" s="78"/>
      <c r="T25" s="79">
        <f t="shared" si="1"/>
        <v>0</v>
      </c>
      <c r="U25" s="79">
        <f t="shared" si="2"/>
        <v>0</v>
      </c>
      <c r="V25" s="79">
        <f>T25*3.31</f>
        <v>0</v>
      </c>
      <c r="W25" s="80">
        <f t="shared" si="5"/>
        <v>0</v>
      </c>
    </row>
    <row r="26" ht="99.75" customHeight="1">
      <c r="B26" s="116" t="s">
        <v>263</v>
      </c>
      <c r="C26" s="117"/>
      <c r="D26" s="65">
        <v>2.0</v>
      </c>
      <c r="E26" s="65" t="s">
        <v>264</v>
      </c>
      <c r="F26" s="46">
        <v>275.0</v>
      </c>
      <c r="G26" s="66"/>
      <c r="H26" s="67"/>
      <c r="I26" s="68"/>
      <c r="J26" s="69"/>
      <c r="K26" s="70"/>
      <c r="L26" s="71"/>
      <c r="M26" s="72"/>
      <c r="N26" s="73"/>
      <c r="O26" s="74"/>
      <c r="P26" s="75"/>
      <c r="Q26" s="76"/>
      <c r="R26" s="77"/>
      <c r="S26" s="78"/>
      <c r="T26" s="79">
        <f t="shared" si="1"/>
        <v>0</v>
      </c>
      <c r="U26" s="79">
        <f t="shared" si="2"/>
        <v>0</v>
      </c>
      <c r="V26" s="79">
        <f>T26*4.27</f>
        <v>0</v>
      </c>
      <c r="W26" s="80">
        <f t="shared" si="5"/>
        <v>0</v>
      </c>
    </row>
    <row r="27" ht="99.75" customHeight="1">
      <c r="B27" s="116" t="s">
        <v>265</v>
      </c>
      <c r="C27" s="117"/>
      <c r="D27" s="65">
        <v>2.0</v>
      </c>
      <c r="E27" s="65" t="s">
        <v>266</v>
      </c>
      <c r="F27" s="46">
        <v>265.0</v>
      </c>
      <c r="G27" s="66"/>
      <c r="H27" s="67"/>
      <c r="I27" s="68"/>
      <c r="J27" s="69"/>
      <c r="K27" s="70"/>
      <c r="L27" s="71"/>
      <c r="M27" s="72"/>
      <c r="N27" s="73"/>
      <c r="O27" s="74"/>
      <c r="P27" s="75"/>
      <c r="Q27" s="76"/>
      <c r="R27" s="77"/>
      <c r="S27" s="78"/>
      <c r="T27" s="79">
        <f t="shared" si="1"/>
        <v>0</v>
      </c>
      <c r="U27" s="79">
        <f t="shared" si="2"/>
        <v>0</v>
      </c>
      <c r="V27" s="79">
        <f>T27*4.24</f>
        <v>0</v>
      </c>
      <c r="W27" s="80">
        <f t="shared" si="5"/>
        <v>0</v>
      </c>
    </row>
    <row r="28" ht="99.75" customHeight="1">
      <c r="B28" s="118" t="s">
        <v>267</v>
      </c>
      <c r="C28" s="119"/>
      <c r="D28" s="120">
        <v>2.0</v>
      </c>
      <c r="E28" s="120" t="s">
        <v>268</v>
      </c>
      <c r="F28" s="46">
        <v>203.0</v>
      </c>
      <c r="G28" s="121"/>
      <c r="H28" s="122"/>
      <c r="I28" s="123"/>
      <c r="J28" s="124"/>
      <c r="K28" s="247"/>
      <c r="L28" s="126"/>
      <c r="M28" s="127"/>
      <c r="N28" s="128"/>
      <c r="O28" s="129"/>
      <c r="P28" s="130"/>
      <c r="Q28" s="131"/>
      <c r="R28" s="132"/>
      <c r="S28" s="248"/>
      <c r="T28" s="134">
        <f t="shared" si="1"/>
        <v>0</v>
      </c>
      <c r="U28" s="134">
        <f t="shared" si="2"/>
        <v>0</v>
      </c>
      <c r="V28" s="134">
        <f>T28*3.14</f>
        <v>0</v>
      </c>
      <c r="W28" s="135">
        <f t="shared" si="5"/>
        <v>0</v>
      </c>
    </row>
    <row r="29" ht="15.75" customHeight="1">
      <c r="B29" s="139"/>
      <c r="C29" s="139"/>
      <c r="D29" s="139"/>
      <c r="E29" s="139"/>
      <c r="F29" s="5"/>
      <c r="G29" s="136">
        <f t="shared" ref="G29:I29" si="7">SUM(G6:G28)</f>
        <v>0</v>
      </c>
      <c r="H29" s="136">
        <f t="shared" si="7"/>
        <v>0</v>
      </c>
      <c r="I29" s="136">
        <f t="shared" si="7"/>
        <v>0</v>
      </c>
      <c r="J29" s="136">
        <f>+SUM(J6:J28)</f>
        <v>0</v>
      </c>
      <c r="K29" s="136">
        <f t="shared" ref="K29:W29" si="8">SUM(K6:K28)</f>
        <v>0</v>
      </c>
      <c r="L29" s="136">
        <f t="shared" si="8"/>
        <v>0</v>
      </c>
      <c r="M29" s="136">
        <f t="shared" si="8"/>
        <v>0</v>
      </c>
      <c r="N29" s="136">
        <f t="shared" si="8"/>
        <v>0</v>
      </c>
      <c r="O29" s="136">
        <f t="shared" si="8"/>
        <v>0</v>
      </c>
      <c r="P29" s="136">
        <f t="shared" si="8"/>
        <v>0</v>
      </c>
      <c r="Q29" s="136">
        <f t="shared" si="8"/>
        <v>0</v>
      </c>
      <c r="R29" s="136">
        <f t="shared" si="8"/>
        <v>0</v>
      </c>
      <c r="S29" s="136">
        <f t="shared" si="8"/>
        <v>0</v>
      </c>
      <c r="T29" s="136">
        <f t="shared" si="8"/>
        <v>0</v>
      </c>
      <c r="U29" s="136">
        <f t="shared" si="8"/>
        <v>0</v>
      </c>
      <c r="V29" s="136">
        <f t="shared" si="8"/>
        <v>0</v>
      </c>
      <c r="W29" s="137">
        <f t="shared" si="8"/>
        <v>0</v>
      </c>
    </row>
    <row r="30" ht="15.75" customHeight="1">
      <c r="F30" s="1"/>
    </row>
    <row r="31" ht="15.75" customHeight="1">
      <c r="F31" s="1"/>
    </row>
    <row r="32" ht="15.75" customHeight="1">
      <c r="F32" s="1"/>
    </row>
    <row r="33" ht="15.75" customHeight="1">
      <c r="F33" s="1"/>
    </row>
    <row r="34" ht="15.75" customHeight="1">
      <c r="F34" s="1"/>
    </row>
    <row r="35" ht="15.75" customHeight="1">
      <c r="F35" s="1"/>
    </row>
    <row r="36" ht="15.75" customHeight="1">
      <c r="F36" s="1"/>
    </row>
    <row r="37" ht="15.75" customHeight="1">
      <c r="F37" s="1"/>
    </row>
    <row r="38" ht="15.75" customHeight="1">
      <c r="F38" s="1"/>
    </row>
    <row r="39" ht="15.75" customHeight="1">
      <c r="F39" s="1"/>
    </row>
    <row r="40" ht="15.75" customHeight="1">
      <c r="F40" s="1"/>
    </row>
    <row r="41" ht="15.75" customHeight="1">
      <c r="F41" s="1"/>
    </row>
    <row r="42" ht="15.75" customHeight="1">
      <c r="F42" s="1"/>
    </row>
    <row r="43" ht="15.75" customHeight="1">
      <c r="F43" s="1"/>
    </row>
    <row r="44" ht="15.75" customHeight="1">
      <c r="F44" s="1"/>
    </row>
    <row r="45" ht="15.75" customHeight="1">
      <c r="F45" s="1"/>
    </row>
    <row r="46" ht="15.75" customHeight="1">
      <c r="F46" s="1"/>
    </row>
    <row r="47" ht="15.75" customHeight="1">
      <c r="F47" s="1"/>
    </row>
    <row r="48" ht="15.75" customHeight="1">
      <c r="F48" s="1"/>
    </row>
    <row r="49" ht="15.75" customHeight="1">
      <c r="F49" s="1"/>
    </row>
    <row r="50" ht="15.75" customHeight="1">
      <c r="F50" s="1"/>
    </row>
    <row r="51" ht="15.75" customHeight="1">
      <c r="F51" s="1"/>
    </row>
    <row r="52" ht="15.75" customHeight="1">
      <c r="F52" s="1"/>
    </row>
    <row r="53" ht="15.75" customHeight="1">
      <c r="F53" s="1"/>
    </row>
    <row r="54" ht="15.75" customHeight="1">
      <c r="F54" s="1"/>
    </row>
    <row r="55" ht="15.75" customHeight="1">
      <c r="F55" s="1"/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>
      <c r="F100" s="1"/>
    </row>
    <row r="101" ht="15.75" customHeight="1">
      <c r="F101" s="1"/>
    </row>
    <row r="102" ht="15.75" customHeight="1">
      <c r="F102" s="1"/>
    </row>
    <row r="103" ht="15.75" customHeight="1">
      <c r="F103" s="1"/>
    </row>
    <row r="104" ht="15.75" customHeight="1">
      <c r="F104" s="1"/>
    </row>
    <row r="105" ht="15.75" customHeight="1">
      <c r="F105" s="1"/>
    </row>
    <row r="106" ht="15.75" customHeight="1">
      <c r="F106" s="1"/>
    </row>
    <row r="107" ht="15.75" customHeight="1">
      <c r="F107" s="1"/>
    </row>
    <row r="108" ht="15.75" customHeight="1">
      <c r="F108" s="1"/>
    </row>
    <row r="109" ht="15.75" customHeight="1">
      <c r="F109" s="1"/>
    </row>
    <row r="110" ht="15.75" customHeight="1">
      <c r="F110" s="1"/>
    </row>
    <row r="111" ht="15.75" customHeight="1">
      <c r="F111" s="1"/>
    </row>
    <row r="112" ht="15.75" customHeight="1">
      <c r="F112" s="1"/>
    </row>
    <row r="113" ht="15.75" customHeight="1">
      <c r="F113" s="1"/>
    </row>
    <row r="114" ht="15.75" customHeight="1">
      <c r="F114" s="1"/>
    </row>
    <row r="115" ht="15.75" customHeight="1">
      <c r="F115" s="1"/>
    </row>
    <row r="116" ht="15.75" customHeight="1">
      <c r="F116" s="1"/>
    </row>
    <row r="117" ht="15.75" customHeight="1">
      <c r="F117" s="1"/>
    </row>
    <row r="118" ht="15.75" customHeight="1">
      <c r="F118" s="1"/>
    </row>
    <row r="119" ht="15.75" customHeight="1">
      <c r="F119" s="1"/>
    </row>
    <row r="120" ht="15.75" customHeight="1">
      <c r="F120" s="1"/>
    </row>
    <row r="121" ht="15.75" customHeight="1">
      <c r="F121" s="1"/>
    </row>
    <row r="122" ht="15.75" customHeight="1">
      <c r="F122" s="1"/>
    </row>
    <row r="123" ht="15.75" customHeight="1">
      <c r="F123" s="1"/>
    </row>
    <row r="124" ht="15.75" customHeight="1">
      <c r="F124" s="1"/>
    </row>
    <row r="125" ht="15.75" customHeight="1">
      <c r="F125" s="1"/>
    </row>
    <row r="126" ht="15.75" customHeight="1">
      <c r="F126" s="1"/>
    </row>
    <row r="127" ht="15.75" customHeight="1">
      <c r="F127" s="1"/>
    </row>
    <row r="128" ht="15.75" customHeight="1">
      <c r="F128" s="1"/>
    </row>
    <row r="129" ht="15.75" customHeight="1">
      <c r="F129" s="1"/>
    </row>
    <row r="130" ht="15.75" customHeight="1">
      <c r="F130" s="1"/>
    </row>
    <row r="131" ht="15.75" customHeight="1">
      <c r="F131" s="1"/>
    </row>
    <row r="132" ht="15.75" customHeight="1">
      <c r="F132" s="1"/>
    </row>
    <row r="133" ht="15.75" customHeight="1">
      <c r="F133" s="1"/>
    </row>
    <row r="134" ht="15.75" customHeight="1">
      <c r="F134" s="1"/>
    </row>
    <row r="135" ht="15.75" customHeight="1">
      <c r="F135" s="1"/>
    </row>
    <row r="136" ht="15.75" customHeight="1">
      <c r="F136" s="1"/>
    </row>
    <row r="137" ht="15.75" customHeight="1">
      <c r="F137" s="1"/>
    </row>
    <row r="138" ht="15.75" customHeight="1">
      <c r="F138" s="1"/>
    </row>
    <row r="139" ht="15.75" customHeight="1">
      <c r="F139" s="1"/>
    </row>
    <row r="140" ht="15.75" customHeight="1">
      <c r="F140" s="1"/>
    </row>
    <row r="141" ht="15.75" customHeight="1">
      <c r="F141" s="1"/>
    </row>
    <row r="142" ht="15.75" customHeight="1">
      <c r="F142" s="1"/>
    </row>
    <row r="143" ht="15.75" customHeight="1">
      <c r="F143" s="1"/>
    </row>
    <row r="144" ht="15.75" customHeight="1">
      <c r="F144" s="1"/>
    </row>
    <row r="145" ht="15.75" customHeight="1">
      <c r="F145" s="1"/>
    </row>
    <row r="146" ht="15.75" customHeight="1">
      <c r="F146" s="1"/>
    </row>
    <row r="147" ht="15.75" customHeight="1">
      <c r="F147" s="1"/>
    </row>
    <row r="148" ht="15.75" customHeight="1">
      <c r="F148" s="1"/>
    </row>
    <row r="149" ht="15.75" customHeight="1">
      <c r="F149" s="1"/>
    </row>
    <row r="150" ht="15.75" customHeight="1">
      <c r="F150" s="1"/>
    </row>
    <row r="151" ht="15.75" customHeight="1">
      <c r="F151" s="1"/>
    </row>
    <row r="152" ht="15.75" customHeight="1">
      <c r="F152" s="1"/>
    </row>
    <row r="153" ht="15.75" customHeight="1">
      <c r="F153" s="1"/>
    </row>
    <row r="154" ht="15.75" customHeight="1">
      <c r="F154" s="1"/>
    </row>
    <row r="155" ht="15.75" customHeight="1">
      <c r="F155" s="1"/>
    </row>
    <row r="156" ht="15.75" customHeight="1">
      <c r="F156" s="1"/>
    </row>
    <row r="157" ht="15.75" customHeight="1">
      <c r="F157" s="1"/>
    </row>
    <row r="158" ht="15.75" customHeight="1">
      <c r="F158" s="1"/>
    </row>
    <row r="159" ht="15.75" customHeight="1">
      <c r="F159" s="1"/>
    </row>
    <row r="160" ht="15.75" customHeight="1">
      <c r="F160" s="1"/>
    </row>
    <row r="161" ht="15.75" customHeight="1">
      <c r="F161" s="1"/>
    </row>
    <row r="162" ht="15.75" customHeight="1">
      <c r="F162" s="1"/>
    </row>
    <row r="163" ht="15.75" customHeight="1">
      <c r="F163" s="1"/>
    </row>
    <row r="164" ht="15.75" customHeight="1">
      <c r="F164" s="1"/>
    </row>
    <row r="165" ht="15.75" customHeight="1">
      <c r="F165" s="1"/>
    </row>
    <row r="166" ht="15.75" customHeight="1">
      <c r="F166" s="1"/>
    </row>
    <row r="167" ht="15.75" customHeight="1">
      <c r="F167" s="1"/>
    </row>
    <row r="168" ht="15.75" customHeight="1">
      <c r="F168" s="1"/>
    </row>
    <row r="169" ht="15.75" customHeight="1">
      <c r="F169" s="1"/>
    </row>
    <row r="170" ht="15.75" customHeight="1">
      <c r="F170" s="1"/>
    </row>
    <row r="171" ht="15.75" customHeight="1">
      <c r="F171" s="1"/>
    </row>
    <row r="172" ht="15.75" customHeight="1">
      <c r="F172" s="1"/>
    </row>
    <row r="173" ht="15.75" customHeight="1">
      <c r="F173" s="1"/>
    </row>
    <row r="174" ht="15.75" customHeight="1">
      <c r="F174" s="1"/>
    </row>
    <row r="175" ht="15.75" customHeight="1">
      <c r="F175" s="1"/>
    </row>
    <row r="176" ht="15.75" customHeight="1">
      <c r="F176" s="1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1"/>
    </row>
    <row r="182" ht="15.75" customHeight="1">
      <c r="F182" s="1"/>
    </row>
    <row r="183" ht="15.75" customHeight="1">
      <c r="F183" s="1"/>
    </row>
    <row r="184" ht="15.75" customHeight="1">
      <c r="F184" s="1"/>
    </row>
    <row r="185" ht="15.75" customHeight="1">
      <c r="F185" s="1"/>
    </row>
    <row r="186" ht="15.75" customHeight="1">
      <c r="F186" s="1"/>
    </row>
    <row r="187" ht="15.75" customHeight="1">
      <c r="F187" s="1"/>
    </row>
    <row r="188" ht="15.75" customHeight="1">
      <c r="F188" s="1"/>
    </row>
    <row r="189" ht="15.75" customHeight="1">
      <c r="F189" s="1"/>
    </row>
    <row r="190" ht="15.75" customHeight="1">
      <c r="F190" s="1"/>
    </row>
    <row r="191" ht="15.75" customHeight="1">
      <c r="F191" s="1"/>
    </row>
    <row r="192" ht="15.75" customHeight="1">
      <c r="F192" s="1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>
      <c r="F202" s="1"/>
    </row>
    <row r="203" ht="15.75" customHeight="1">
      <c r="F203" s="1"/>
    </row>
    <row r="204" ht="15.75" customHeight="1">
      <c r="F204" s="1"/>
    </row>
    <row r="205" ht="15.75" customHeight="1">
      <c r="F205" s="1"/>
    </row>
    <row r="206" ht="15.75" customHeight="1">
      <c r="F206" s="1"/>
    </row>
    <row r="207" ht="15.75" customHeight="1">
      <c r="F207" s="1"/>
    </row>
    <row r="208" ht="15.75" customHeight="1">
      <c r="F208" s="1"/>
    </row>
    <row r="209" ht="15.75" customHeight="1">
      <c r="F209" s="1"/>
    </row>
    <row r="210" ht="15.75" customHeight="1">
      <c r="F210" s="1"/>
    </row>
    <row r="211" ht="15.75" customHeight="1">
      <c r="F211" s="1"/>
    </row>
    <row r="212" ht="15.75" customHeight="1">
      <c r="F212" s="1"/>
    </row>
    <row r="213" ht="15.75" customHeight="1">
      <c r="F213" s="1"/>
    </row>
    <row r="214" ht="15.75" customHeight="1">
      <c r="F214" s="1"/>
    </row>
    <row r="215" ht="15.75" customHeight="1">
      <c r="F215" s="1"/>
    </row>
    <row r="216" ht="15.75" customHeight="1">
      <c r="F216" s="1"/>
    </row>
    <row r="217" ht="15.75" customHeight="1">
      <c r="F217" s="1"/>
    </row>
    <row r="218" ht="15.75" customHeight="1">
      <c r="F218" s="1"/>
    </row>
    <row r="219" ht="15.75" customHeight="1">
      <c r="F219" s="1"/>
    </row>
    <row r="220" ht="15.75" customHeight="1">
      <c r="F220" s="1"/>
    </row>
    <row r="221" ht="15.75" customHeight="1">
      <c r="F221" s="1"/>
    </row>
    <row r="222" ht="15.75" customHeight="1">
      <c r="F222" s="1"/>
    </row>
    <row r="223" ht="15.75" customHeight="1">
      <c r="F223" s="1"/>
    </row>
    <row r="224" ht="15.75" customHeight="1">
      <c r="F224" s="1"/>
    </row>
    <row r="225" ht="15.75" customHeight="1">
      <c r="F225" s="1"/>
    </row>
    <row r="226" ht="15.75" customHeight="1">
      <c r="F226" s="1"/>
    </row>
    <row r="227" ht="15.75" customHeight="1">
      <c r="F227" s="1"/>
    </row>
    <row r="228" ht="15.75" customHeight="1">
      <c r="F228" s="1"/>
    </row>
    <row r="229" ht="15.75" customHeight="1">
      <c r="F229" s="1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E3"/>
  </mergeCells>
  <printOptions/>
  <pageMargins bottom="0.75" footer="0.0" header="0.0" left="0.7" right="0.7" top="0.75"/>
  <pageSetup fitToHeight="0"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6.57"/>
    <col customWidth="1" min="3" max="3" width="23.29"/>
    <col customWidth="1" min="4" max="4" width="9.14"/>
    <col customWidth="1" min="5" max="5" width="9.86"/>
    <col customWidth="1" min="6" max="6" width="12.0"/>
    <col customWidth="1" min="7" max="22" width="9.14"/>
    <col customWidth="1" min="23" max="23" width="14.86"/>
  </cols>
  <sheetData>
    <row r="1">
      <c r="F1" s="1"/>
    </row>
    <row r="2" ht="33.0" customHeight="1">
      <c r="B2" s="138" t="s">
        <v>269</v>
      </c>
      <c r="C2" s="3"/>
      <c r="D2" s="3"/>
      <c r="E2" s="139"/>
      <c r="F2" s="5"/>
      <c r="G2" s="140" t="s">
        <v>1</v>
      </c>
      <c r="H2" s="141" t="s">
        <v>2</v>
      </c>
      <c r="I2" s="178" t="s">
        <v>3</v>
      </c>
      <c r="J2" s="143" t="s">
        <v>4</v>
      </c>
      <c r="K2" s="179" t="s">
        <v>5</v>
      </c>
      <c r="L2" s="145" t="s">
        <v>6</v>
      </c>
      <c r="M2" s="146" t="s">
        <v>7</v>
      </c>
      <c r="N2" s="147" t="s">
        <v>8</v>
      </c>
      <c r="O2" s="148" t="s">
        <v>9</v>
      </c>
      <c r="P2" s="149" t="s">
        <v>10</v>
      </c>
      <c r="Q2" s="150" t="s">
        <v>11</v>
      </c>
      <c r="R2" s="151" t="s">
        <v>12</v>
      </c>
      <c r="S2" s="152" t="s">
        <v>13</v>
      </c>
      <c r="T2" s="4"/>
      <c r="U2" s="4"/>
      <c r="V2" s="4"/>
      <c r="W2" s="153"/>
    </row>
    <row r="3" ht="15.0" customHeight="1">
      <c r="B3" s="20" t="s">
        <v>14</v>
      </c>
      <c r="C3" s="21" t="s">
        <v>141</v>
      </c>
      <c r="D3" s="22" t="s">
        <v>16</v>
      </c>
      <c r="E3" s="22" t="s">
        <v>17</v>
      </c>
      <c r="F3" s="23" t="s">
        <v>223</v>
      </c>
      <c r="G3" s="154">
        <v>2.0</v>
      </c>
      <c r="H3" s="155">
        <v>5.0</v>
      </c>
      <c r="I3" s="180">
        <v>7.0</v>
      </c>
      <c r="J3" s="157">
        <v>10.0</v>
      </c>
      <c r="K3" s="181">
        <v>11.0</v>
      </c>
      <c r="L3" s="159">
        <v>12.0</v>
      </c>
      <c r="M3" s="160">
        <v>13.0</v>
      </c>
      <c r="N3" s="161">
        <v>16.0</v>
      </c>
      <c r="O3" s="162">
        <v>69.0</v>
      </c>
      <c r="P3" s="163">
        <v>76.0</v>
      </c>
      <c r="Q3" s="164">
        <v>77.0</v>
      </c>
      <c r="R3" s="165">
        <v>79.0</v>
      </c>
      <c r="S3" s="166">
        <v>81.0</v>
      </c>
      <c r="T3" s="165" t="s">
        <v>19</v>
      </c>
      <c r="U3" s="165" t="s">
        <v>20</v>
      </c>
      <c r="V3" s="165" t="s">
        <v>21</v>
      </c>
      <c r="W3" s="167" t="s">
        <v>85</v>
      </c>
    </row>
    <row r="4">
      <c r="B4" s="139"/>
      <c r="C4" s="139"/>
      <c r="D4" s="139"/>
      <c r="E4" s="139"/>
      <c r="F4" s="5"/>
      <c r="G4" s="4"/>
      <c r="H4" s="4"/>
      <c r="I4" s="4"/>
      <c r="J4" s="109"/>
      <c r="K4" s="4"/>
      <c r="L4" s="4"/>
      <c r="M4" s="4"/>
      <c r="N4" s="4"/>
      <c r="O4" s="4"/>
      <c r="P4" s="4"/>
      <c r="Q4" s="4"/>
      <c r="R4" s="4"/>
      <c r="S4" s="109"/>
      <c r="T4" s="4"/>
      <c r="U4" s="4"/>
      <c r="V4" s="4"/>
      <c r="W4" s="153"/>
    </row>
    <row r="5" ht="129.75" customHeight="1">
      <c r="B5" s="263" t="s">
        <v>224</v>
      </c>
      <c r="C5" s="264"/>
      <c r="D5" s="265">
        <v>5.0</v>
      </c>
      <c r="E5" s="265" t="s">
        <v>270</v>
      </c>
      <c r="F5" s="46">
        <v>83.0</v>
      </c>
      <c r="G5" s="47"/>
      <c r="H5" s="48"/>
      <c r="I5" s="49"/>
      <c r="J5" s="50"/>
      <c r="K5" s="51"/>
      <c r="L5" s="52"/>
      <c r="M5" s="53"/>
      <c r="N5" s="54"/>
      <c r="O5" s="55"/>
      <c r="P5" s="56"/>
      <c r="Q5" s="57"/>
      <c r="R5" s="58"/>
      <c r="S5" s="59"/>
      <c r="T5" s="266">
        <f t="shared" ref="T5:T35" si="1">SUM(G5:S5)</f>
        <v>0</v>
      </c>
      <c r="U5" s="266">
        <f>D5*T5</f>
        <v>0</v>
      </c>
      <c r="V5" s="266">
        <f>T5*1.48</f>
        <v>0</v>
      </c>
      <c r="W5" s="267">
        <f>F5*T5</f>
        <v>0</v>
      </c>
    </row>
    <row r="6" ht="129.75" customHeight="1">
      <c r="B6" s="182" t="s">
        <v>153</v>
      </c>
      <c r="C6" s="183"/>
      <c r="D6" s="184">
        <v>10.0</v>
      </c>
      <c r="E6" s="184" t="s">
        <v>271</v>
      </c>
      <c r="F6" s="46">
        <v>78.0</v>
      </c>
      <c r="G6" s="186"/>
      <c r="H6" s="187"/>
      <c r="I6" s="188"/>
      <c r="J6" s="189"/>
      <c r="K6" s="190"/>
      <c r="L6" s="191"/>
      <c r="M6" s="192"/>
      <c r="N6" s="193"/>
      <c r="O6" s="194"/>
      <c r="P6" s="195"/>
      <c r="Q6" s="196"/>
      <c r="R6" s="197"/>
      <c r="S6" s="198"/>
      <c r="T6" s="199">
        <f t="shared" si="1"/>
        <v>0</v>
      </c>
      <c r="U6" s="199">
        <f>T6*D6</f>
        <v>0</v>
      </c>
      <c r="V6" s="199">
        <f>T6*1.1</f>
        <v>0</v>
      </c>
      <c r="W6" s="200">
        <f>T6*F6</f>
        <v>0</v>
      </c>
    </row>
    <row r="7" ht="129.75" customHeight="1">
      <c r="B7" s="63" t="s">
        <v>112</v>
      </c>
      <c r="C7" s="117"/>
      <c r="D7" s="65">
        <v>5.0</v>
      </c>
      <c r="E7" s="65" t="s">
        <v>272</v>
      </c>
      <c r="F7" s="46">
        <v>73.0</v>
      </c>
      <c r="G7" s="66"/>
      <c r="H7" s="67"/>
      <c r="I7" s="68"/>
      <c r="J7" s="69"/>
      <c r="K7" s="70"/>
      <c r="L7" s="71"/>
      <c r="M7" s="72"/>
      <c r="N7" s="73"/>
      <c r="O7" s="74"/>
      <c r="P7" s="75"/>
      <c r="Q7" s="76"/>
      <c r="R7" s="77"/>
      <c r="S7" s="78"/>
      <c r="T7" s="79">
        <f t="shared" si="1"/>
        <v>0</v>
      </c>
      <c r="U7" s="79">
        <f t="shared" ref="U7:U18" si="2">D7*T7</f>
        <v>0</v>
      </c>
      <c r="V7" s="79">
        <f>T7*1.23</f>
        <v>0</v>
      </c>
      <c r="W7" s="80">
        <f t="shared" ref="W7:W33" si="3">F7*T7</f>
        <v>0</v>
      </c>
    </row>
    <row r="8" ht="129.75" customHeight="1">
      <c r="B8" s="182" t="s">
        <v>110</v>
      </c>
      <c r="C8" s="183"/>
      <c r="D8" s="184">
        <v>10.0</v>
      </c>
      <c r="E8" s="184" t="s">
        <v>273</v>
      </c>
      <c r="F8" s="46">
        <v>81.0</v>
      </c>
      <c r="G8" s="186"/>
      <c r="H8" s="187"/>
      <c r="I8" s="188"/>
      <c r="J8" s="189"/>
      <c r="K8" s="190"/>
      <c r="L8" s="191"/>
      <c r="M8" s="192"/>
      <c r="N8" s="193"/>
      <c r="O8" s="194"/>
      <c r="P8" s="195"/>
      <c r="Q8" s="196"/>
      <c r="R8" s="197"/>
      <c r="S8" s="198"/>
      <c r="T8" s="199">
        <f t="shared" si="1"/>
        <v>0</v>
      </c>
      <c r="U8" s="199">
        <f t="shared" si="2"/>
        <v>0</v>
      </c>
      <c r="V8" s="199">
        <f>T8*1.1</f>
        <v>0</v>
      </c>
      <c r="W8" s="200">
        <f t="shared" si="3"/>
        <v>0</v>
      </c>
    </row>
    <row r="9" ht="129.75" customHeight="1">
      <c r="B9" s="182" t="s">
        <v>274</v>
      </c>
      <c r="C9" s="183"/>
      <c r="D9" s="184">
        <v>5.0</v>
      </c>
      <c r="E9" s="184" t="s">
        <v>275</v>
      </c>
      <c r="F9" s="46">
        <v>89.0</v>
      </c>
      <c r="G9" s="186"/>
      <c r="H9" s="187"/>
      <c r="I9" s="188"/>
      <c r="J9" s="189"/>
      <c r="K9" s="190"/>
      <c r="L9" s="191"/>
      <c r="M9" s="192"/>
      <c r="N9" s="193"/>
      <c r="O9" s="194"/>
      <c r="P9" s="195"/>
      <c r="Q9" s="196"/>
      <c r="R9" s="197"/>
      <c r="S9" s="198"/>
      <c r="T9" s="199">
        <f t="shared" si="1"/>
        <v>0</v>
      </c>
      <c r="U9" s="199">
        <f t="shared" si="2"/>
        <v>0</v>
      </c>
      <c r="V9" s="199">
        <f>T9*1.58</f>
        <v>0</v>
      </c>
      <c r="W9" s="200">
        <f t="shared" si="3"/>
        <v>0</v>
      </c>
    </row>
    <row r="10" ht="129.75" customHeight="1">
      <c r="B10" s="182" t="s">
        <v>146</v>
      </c>
      <c r="C10" s="183"/>
      <c r="D10" s="184">
        <v>10.0</v>
      </c>
      <c r="E10" s="184" t="s">
        <v>276</v>
      </c>
      <c r="F10" s="46">
        <v>96.0</v>
      </c>
      <c r="G10" s="186"/>
      <c r="H10" s="187"/>
      <c r="I10" s="188"/>
      <c r="J10" s="189"/>
      <c r="K10" s="190"/>
      <c r="L10" s="191"/>
      <c r="M10" s="192"/>
      <c r="N10" s="193"/>
      <c r="O10" s="194"/>
      <c r="P10" s="195"/>
      <c r="Q10" s="196"/>
      <c r="R10" s="197"/>
      <c r="S10" s="198"/>
      <c r="T10" s="199">
        <f t="shared" si="1"/>
        <v>0</v>
      </c>
      <c r="U10" s="199">
        <f t="shared" si="2"/>
        <v>0</v>
      </c>
      <c r="V10" s="199">
        <f>T10*1.43</f>
        <v>0</v>
      </c>
      <c r="W10" s="200">
        <f t="shared" si="3"/>
        <v>0</v>
      </c>
    </row>
    <row r="11" ht="129.75" customHeight="1">
      <c r="B11" s="182" t="s">
        <v>277</v>
      </c>
      <c r="C11" s="183"/>
      <c r="D11" s="184">
        <v>10.0</v>
      </c>
      <c r="E11" s="184" t="s">
        <v>278</v>
      </c>
      <c r="F11" s="46">
        <v>145.0</v>
      </c>
      <c r="G11" s="186"/>
      <c r="H11" s="187"/>
      <c r="I11" s="188"/>
      <c r="J11" s="189"/>
      <c r="K11" s="190"/>
      <c r="L11" s="191"/>
      <c r="M11" s="192"/>
      <c r="N11" s="193"/>
      <c r="O11" s="194"/>
      <c r="P11" s="195"/>
      <c r="Q11" s="196"/>
      <c r="R11" s="197"/>
      <c r="S11" s="198"/>
      <c r="T11" s="199">
        <f t="shared" si="1"/>
        <v>0</v>
      </c>
      <c r="U11" s="199">
        <f t="shared" si="2"/>
        <v>0</v>
      </c>
      <c r="V11" s="199">
        <f>T11*2.52</f>
        <v>0</v>
      </c>
      <c r="W11" s="200">
        <f t="shared" si="3"/>
        <v>0</v>
      </c>
    </row>
    <row r="12" ht="129.75" customHeight="1">
      <c r="B12" s="63" t="s">
        <v>279</v>
      </c>
      <c r="C12" s="117"/>
      <c r="D12" s="65">
        <v>10.0</v>
      </c>
      <c r="E12" s="65" t="s">
        <v>280</v>
      </c>
      <c r="F12" s="46">
        <v>99.0</v>
      </c>
      <c r="G12" s="66"/>
      <c r="H12" s="67"/>
      <c r="I12" s="68"/>
      <c r="J12" s="69"/>
      <c r="K12" s="70"/>
      <c r="L12" s="71"/>
      <c r="M12" s="72"/>
      <c r="N12" s="73"/>
      <c r="O12" s="74"/>
      <c r="P12" s="75"/>
      <c r="Q12" s="76"/>
      <c r="R12" s="77"/>
      <c r="S12" s="78"/>
      <c r="T12" s="79">
        <f t="shared" si="1"/>
        <v>0</v>
      </c>
      <c r="U12" s="79">
        <f t="shared" si="2"/>
        <v>0</v>
      </c>
      <c r="V12" s="79">
        <f>T12*1.5</f>
        <v>0</v>
      </c>
      <c r="W12" s="80">
        <f t="shared" si="3"/>
        <v>0</v>
      </c>
    </row>
    <row r="13" ht="129.75" customHeight="1">
      <c r="B13" s="63" t="s">
        <v>281</v>
      </c>
      <c r="C13" s="117"/>
      <c r="D13" s="65">
        <v>10.0</v>
      </c>
      <c r="E13" s="65" t="s">
        <v>282</v>
      </c>
      <c r="F13" s="46">
        <v>121.0</v>
      </c>
      <c r="G13" s="66"/>
      <c r="H13" s="67"/>
      <c r="I13" s="68"/>
      <c r="J13" s="69"/>
      <c r="K13" s="70"/>
      <c r="L13" s="71"/>
      <c r="M13" s="72"/>
      <c r="N13" s="73"/>
      <c r="O13" s="74"/>
      <c r="P13" s="75"/>
      <c r="Q13" s="76"/>
      <c r="R13" s="77"/>
      <c r="S13" s="78"/>
      <c r="T13" s="79">
        <f t="shared" si="1"/>
        <v>0</v>
      </c>
      <c r="U13" s="79">
        <f t="shared" si="2"/>
        <v>0</v>
      </c>
      <c r="V13" s="79">
        <f>T13*1.98</f>
        <v>0</v>
      </c>
      <c r="W13" s="80">
        <f t="shared" si="3"/>
        <v>0</v>
      </c>
    </row>
    <row r="14" ht="129.75" customHeight="1">
      <c r="B14" s="63" t="s">
        <v>45</v>
      </c>
      <c r="C14" s="117"/>
      <c r="D14" s="65">
        <v>10.0</v>
      </c>
      <c r="E14" s="65" t="s">
        <v>283</v>
      </c>
      <c r="F14" s="46">
        <v>103.0</v>
      </c>
      <c r="G14" s="66"/>
      <c r="H14" s="67"/>
      <c r="I14" s="68"/>
      <c r="J14" s="69"/>
      <c r="K14" s="70"/>
      <c r="L14" s="71"/>
      <c r="M14" s="72"/>
      <c r="N14" s="73"/>
      <c r="O14" s="74"/>
      <c r="P14" s="75"/>
      <c r="Q14" s="76"/>
      <c r="R14" s="77"/>
      <c r="S14" s="78"/>
      <c r="T14" s="79">
        <f t="shared" si="1"/>
        <v>0</v>
      </c>
      <c r="U14" s="79">
        <f t="shared" si="2"/>
        <v>0</v>
      </c>
      <c r="V14" s="79">
        <f>T14*1.58</f>
        <v>0</v>
      </c>
      <c r="W14" s="80">
        <f t="shared" si="3"/>
        <v>0</v>
      </c>
    </row>
    <row r="15" ht="129.75" customHeight="1">
      <c r="B15" s="63" t="s">
        <v>284</v>
      </c>
      <c r="C15" s="117"/>
      <c r="D15" s="65">
        <v>10.0</v>
      </c>
      <c r="E15" s="65" t="s">
        <v>285</v>
      </c>
      <c r="F15" s="46">
        <v>100.0</v>
      </c>
      <c r="G15" s="66"/>
      <c r="H15" s="67"/>
      <c r="I15" s="68"/>
      <c r="J15" s="69"/>
      <c r="K15" s="70"/>
      <c r="L15" s="71"/>
      <c r="M15" s="72"/>
      <c r="N15" s="73"/>
      <c r="O15" s="74"/>
      <c r="P15" s="75"/>
      <c r="Q15" s="76"/>
      <c r="R15" s="77"/>
      <c r="S15" s="78"/>
      <c r="T15" s="79">
        <f t="shared" si="1"/>
        <v>0</v>
      </c>
      <c r="U15" s="79">
        <f t="shared" si="2"/>
        <v>0</v>
      </c>
      <c r="V15" s="79">
        <f>T15*1.52</f>
        <v>0</v>
      </c>
      <c r="W15" s="80">
        <f t="shared" si="3"/>
        <v>0</v>
      </c>
    </row>
    <row r="16" ht="129.75" customHeight="1">
      <c r="B16" s="63" t="s">
        <v>286</v>
      </c>
      <c r="C16" s="117"/>
      <c r="D16" s="65">
        <v>3.0</v>
      </c>
      <c r="E16" s="65" t="s">
        <v>287</v>
      </c>
      <c r="F16" s="46">
        <v>90.0</v>
      </c>
      <c r="G16" s="66"/>
      <c r="H16" s="67"/>
      <c r="I16" s="68"/>
      <c r="J16" s="69"/>
      <c r="K16" s="70"/>
      <c r="L16" s="71"/>
      <c r="M16" s="72"/>
      <c r="N16" s="73"/>
      <c r="O16" s="74"/>
      <c r="P16" s="75"/>
      <c r="Q16" s="76"/>
      <c r="R16" s="77"/>
      <c r="S16" s="78"/>
      <c r="T16" s="79">
        <f t="shared" si="1"/>
        <v>0</v>
      </c>
      <c r="U16" s="79">
        <f t="shared" si="2"/>
        <v>0</v>
      </c>
      <c r="V16" s="79">
        <f>T16*0.95</f>
        <v>0</v>
      </c>
      <c r="W16" s="80">
        <f t="shared" si="3"/>
        <v>0</v>
      </c>
    </row>
    <row r="17" ht="129.75" customHeight="1">
      <c r="B17" s="63" t="s">
        <v>167</v>
      </c>
      <c r="C17" s="117"/>
      <c r="D17" s="65">
        <v>10.0</v>
      </c>
      <c r="E17" s="65" t="s">
        <v>288</v>
      </c>
      <c r="F17" s="46">
        <v>138.0</v>
      </c>
      <c r="G17" s="66"/>
      <c r="H17" s="67"/>
      <c r="I17" s="68"/>
      <c r="J17" s="69"/>
      <c r="K17" s="70"/>
      <c r="L17" s="71"/>
      <c r="M17" s="72"/>
      <c r="N17" s="73"/>
      <c r="O17" s="74"/>
      <c r="P17" s="75"/>
      <c r="Q17" s="76"/>
      <c r="R17" s="77"/>
      <c r="S17" s="78"/>
      <c r="T17" s="79">
        <f t="shared" si="1"/>
        <v>0</v>
      </c>
      <c r="U17" s="79">
        <f t="shared" si="2"/>
        <v>0</v>
      </c>
      <c r="V17" s="79">
        <f>T17*2.4</f>
        <v>0</v>
      </c>
      <c r="W17" s="80">
        <f t="shared" si="3"/>
        <v>0</v>
      </c>
    </row>
    <row r="18" ht="129.75" customHeight="1">
      <c r="B18" s="63" t="s">
        <v>289</v>
      </c>
      <c r="C18" s="117"/>
      <c r="D18" s="65">
        <v>10.0</v>
      </c>
      <c r="E18" s="65" t="s">
        <v>290</v>
      </c>
      <c r="F18" s="46">
        <v>180.0</v>
      </c>
      <c r="G18" s="66"/>
      <c r="H18" s="67"/>
      <c r="I18" s="68"/>
      <c r="J18" s="69"/>
      <c r="K18" s="70"/>
      <c r="L18" s="71"/>
      <c r="M18" s="72"/>
      <c r="N18" s="73"/>
      <c r="O18" s="74"/>
      <c r="P18" s="75"/>
      <c r="Q18" s="76"/>
      <c r="R18" s="77"/>
      <c r="S18" s="78"/>
      <c r="T18" s="79">
        <f t="shared" si="1"/>
        <v>0</v>
      </c>
      <c r="U18" s="79">
        <f t="shared" si="2"/>
        <v>0</v>
      </c>
      <c r="V18" s="79">
        <f>T18*3.31</f>
        <v>0</v>
      </c>
      <c r="W18" s="80">
        <f t="shared" si="3"/>
        <v>0</v>
      </c>
    </row>
    <row r="19" ht="129.75" customHeight="1">
      <c r="B19" s="63" t="s">
        <v>291</v>
      </c>
      <c r="C19" s="117"/>
      <c r="D19" s="65">
        <v>5.0</v>
      </c>
      <c r="E19" s="65" t="s">
        <v>292</v>
      </c>
      <c r="F19" s="46">
        <v>106.0</v>
      </c>
      <c r="G19" s="66"/>
      <c r="H19" s="67"/>
      <c r="I19" s="68"/>
      <c r="J19" s="69"/>
      <c r="K19" s="70"/>
      <c r="L19" s="71"/>
      <c r="M19" s="72"/>
      <c r="N19" s="73"/>
      <c r="O19" s="74"/>
      <c r="P19" s="75"/>
      <c r="Q19" s="76"/>
      <c r="R19" s="77"/>
      <c r="S19" s="78"/>
      <c r="T19" s="79">
        <f t="shared" si="1"/>
        <v>0</v>
      </c>
      <c r="U19" s="79">
        <f t="shared" ref="U19:U20" si="4">+D19*T19</f>
        <v>0</v>
      </c>
      <c r="V19" s="79">
        <f>T19*1.96</f>
        <v>0</v>
      </c>
      <c r="W19" s="80">
        <f t="shared" si="3"/>
        <v>0</v>
      </c>
    </row>
    <row r="20" ht="129.75" customHeight="1">
      <c r="B20" s="63" t="s">
        <v>293</v>
      </c>
      <c r="C20" s="117"/>
      <c r="D20" s="65">
        <v>5.0</v>
      </c>
      <c r="E20" s="65" t="s">
        <v>294</v>
      </c>
      <c r="F20" s="46">
        <v>67.0</v>
      </c>
      <c r="G20" s="66"/>
      <c r="H20" s="67"/>
      <c r="I20" s="68"/>
      <c r="J20" s="69"/>
      <c r="K20" s="70"/>
      <c r="L20" s="71"/>
      <c r="M20" s="72"/>
      <c r="N20" s="73"/>
      <c r="O20" s="74"/>
      <c r="P20" s="75"/>
      <c r="Q20" s="76"/>
      <c r="R20" s="77"/>
      <c r="S20" s="78"/>
      <c r="T20" s="79">
        <f t="shared" si="1"/>
        <v>0</v>
      </c>
      <c r="U20" s="79">
        <f t="shared" si="4"/>
        <v>0</v>
      </c>
      <c r="V20" s="79">
        <f>T20*1.1</f>
        <v>0</v>
      </c>
      <c r="W20" s="80">
        <f t="shared" si="3"/>
        <v>0</v>
      </c>
    </row>
    <row r="21" ht="129.75" customHeight="1">
      <c r="B21" s="63" t="s">
        <v>295</v>
      </c>
      <c r="C21" s="117"/>
      <c r="D21" s="65">
        <v>5.0</v>
      </c>
      <c r="E21" s="65" t="s">
        <v>296</v>
      </c>
      <c r="F21" s="46">
        <v>69.0</v>
      </c>
      <c r="G21" s="66"/>
      <c r="H21" s="67"/>
      <c r="I21" s="68"/>
      <c r="J21" s="69"/>
      <c r="K21" s="70"/>
      <c r="L21" s="71"/>
      <c r="M21" s="72"/>
      <c r="N21" s="73"/>
      <c r="O21" s="74"/>
      <c r="P21" s="75"/>
      <c r="Q21" s="76"/>
      <c r="R21" s="77"/>
      <c r="S21" s="78"/>
      <c r="T21" s="79">
        <f t="shared" si="1"/>
        <v>0</v>
      </c>
      <c r="U21" s="79">
        <f>T21*D21</f>
        <v>0</v>
      </c>
      <c r="V21" s="79">
        <f>T21*1.14</f>
        <v>0</v>
      </c>
      <c r="W21" s="80">
        <f t="shared" si="3"/>
        <v>0</v>
      </c>
    </row>
    <row r="22" ht="129.75" customHeight="1">
      <c r="B22" s="63" t="s">
        <v>297</v>
      </c>
      <c r="C22" s="117"/>
      <c r="D22" s="65">
        <v>5.0</v>
      </c>
      <c r="E22" s="65" t="s">
        <v>298</v>
      </c>
      <c r="F22" s="46">
        <v>141.0</v>
      </c>
      <c r="G22" s="66"/>
      <c r="H22" s="67"/>
      <c r="I22" s="68"/>
      <c r="J22" s="69"/>
      <c r="K22" s="70"/>
      <c r="L22" s="71"/>
      <c r="M22" s="72"/>
      <c r="N22" s="73"/>
      <c r="O22" s="74"/>
      <c r="P22" s="75"/>
      <c r="Q22" s="76"/>
      <c r="R22" s="77"/>
      <c r="S22" s="78"/>
      <c r="T22" s="79">
        <f t="shared" si="1"/>
        <v>0</v>
      </c>
      <c r="U22" s="79">
        <f t="shared" ref="U22:U23" si="5">D22*T22</f>
        <v>0</v>
      </c>
      <c r="V22" s="79">
        <f>T22*1.52</f>
        <v>0</v>
      </c>
      <c r="W22" s="80">
        <f t="shared" si="3"/>
        <v>0</v>
      </c>
    </row>
    <row r="23" ht="129.75" customHeight="1">
      <c r="B23" s="63" t="s">
        <v>299</v>
      </c>
      <c r="C23" s="117"/>
      <c r="D23" s="65">
        <v>5.0</v>
      </c>
      <c r="E23" s="65" t="s">
        <v>300</v>
      </c>
      <c r="F23" s="46">
        <v>138.0</v>
      </c>
      <c r="G23" s="66"/>
      <c r="H23" s="67"/>
      <c r="I23" s="68"/>
      <c r="J23" s="69"/>
      <c r="K23" s="70"/>
      <c r="L23" s="71"/>
      <c r="M23" s="72"/>
      <c r="N23" s="73"/>
      <c r="O23" s="74"/>
      <c r="P23" s="75"/>
      <c r="Q23" s="76"/>
      <c r="R23" s="77"/>
      <c r="S23" s="78"/>
      <c r="T23" s="79">
        <f t="shared" si="1"/>
        <v>0</v>
      </c>
      <c r="U23" s="79">
        <f t="shared" si="5"/>
        <v>0</v>
      </c>
      <c r="V23" s="79">
        <f>T23*2.68</f>
        <v>0</v>
      </c>
      <c r="W23" s="80">
        <f t="shared" si="3"/>
        <v>0</v>
      </c>
    </row>
    <row r="24" ht="129.75" customHeight="1">
      <c r="B24" s="63" t="s">
        <v>301</v>
      </c>
      <c r="C24" s="117"/>
      <c r="D24" s="65">
        <v>5.0</v>
      </c>
      <c r="E24" s="65" t="s">
        <v>302</v>
      </c>
      <c r="F24" s="46">
        <v>108.0</v>
      </c>
      <c r="G24" s="66"/>
      <c r="H24" s="67"/>
      <c r="I24" s="68"/>
      <c r="J24" s="69"/>
      <c r="K24" s="70"/>
      <c r="L24" s="71"/>
      <c r="M24" s="72"/>
      <c r="N24" s="73"/>
      <c r="O24" s="74"/>
      <c r="P24" s="75"/>
      <c r="Q24" s="76"/>
      <c r="R24" s="77"/>
      <c r="S24" s="78"/>
      <c r="T24" s="79">
        <f t="shared" si="1"/>
        <v>0</v>
      </c>
      <c r="U24" s="79">
        <f t="shared" ref="U24:U26" si="6">T24*D24</f>
        <v>0</v>
      </c>
      <c r="V24" s="79">
        <f>T24*2</f>
        <v>0</v>
      </c>
      <c r="W24" s="80">
        <f t="shared" si="3"/>
        <v>0</v>
      </c>
    </row>
    <row r="25" ht="129.75" customHeight="1">
      <c r="B25" s="63" t="s">
        <v>303</v>
      </c>
      <c r="C25" s="117"/>
      <c r="D25" s="65">
        <v>5.0</v>
      </c>
      <c r="E25" s="65" t="s">
        <v>304</v>
      </c>
      <c r="F25" s="46">
        <v>147.0</v>
      </c>
      <c r="G25" s="66"/>
      <c r="H25" s="67"/>
      <c r="I25" s="68"/>
      <c r="J25" s="69"/>
      <c r="K25" s="70"/>
      <c r="L25" s="71"/>
      <c r="M25" s="72"/>
      <c r="N25" s="73"/>
      <c r="O25" s="74"/>
      <c r="P25" s="75"/>
      <c r="Q25" s="76"/>
      <c r="R25" s="77"/>
      <c r="S25" s="78"/>
      <c r="T25" s="79">
        <f t="shared" si="1"/>
        <v>0</v>
      </c>
      <c r="U25" s="79">
        <f t="shared" si="6"/>
        <v>0</v>
      </c>
      <c r="V25" s="79">
        <f>T25*1.63</f>
        <v>0</v>
      </c>
      <c r="W25" s="80">
        <f t="shared" si="3"/>
        <v>0</v>
      </c>
    </row>
    <row r="26" ht="129.75" customHeight="1">
      <c r="B26" s="63" t="s">
        <v>305</v>
      </c>
      <c r="C26" s="117"/>
      <c r="D26" s="65">
        <v>5.0</v>
      </c>
      <c r="E26" s="65" t="s">
        <v>306</v>
      </c>
      <c r="F26" s="46">
        <v>101.0</v>
      </c>
      <c r="G26" s="66"/>
      <c r="H26" s="67"/>
      <c r="I26" s="68"/>
      <c r="J26" s="69"/>
      <c r="K26" s="70"/>
      <c r="L26" s="71"/>
      <c r="M26" s="72"/>
      <c r="N26" s="73"/>
      <c r="O26" s="74"/>
      <c r="P26" s="75"/>
      <c r="Q26" s="76"/>
      <c r="R26" s="77"/>
      <c r="S26" s="78"/>
      <c r="T26" s="79">
        <f t="shared" si="1"/>
        <v>0</v>
      </c>
      <c r="U26" s="79">
        <f t="shared" si="6"/>
        <v>0</v>
      </c>
      <c r="V26" s="79">
        <f>T26*1.86</f>
        <v>0</v>
      </c>
      <c r="W26" s="80">
        <f t="shared" si="3"/>
        <v>0</v>
      </c>
    </row>
    <row r="27" ht="129.75" customHeight="1">
      <c r="B27" s="63" t="s">
        <v>307</v>
      </c>
      <c r="C27" s="117"/>
      <c r="D27" s="65">
        <v>3.0</v>
      </c>
      <c r="E27" s="65" t="s">
        <v>308</v>
      </c>
      <c r="F27" s="46">
        <v>120.0</v>
      </c>
      <c r="G27" s="66"/>
      <c r="H27" s="67"/>
      <c r="I27" s="68"/>
      <c r="J27" s="69"/>
      <c r="K27" s="70"/>
      <c r="L27" s="71"/>
      <c r="M27" s="72"/>
      <c r="N27" s="73"/>
      <c r="O27" s="74"/>
      <c r="P27" s="75"/>
      <c r="Q27" s="76"/>
      <c r="R27" s="77"/>
      <c r="S27" s="78"/>
      <c r="T27" s="79">
        <f t="shared" si="1"/>
        <v>0</v>
      </c>
      <c r="U27" s="79">
        <f t="shared" ref="U27:U35" si="7">D27*T27</f>
        <v>0</v>
      </c>
      <c r="V27" s="79">
        <f>T27*1.55</f>
        <v>0</v>
      </c>
      <c r="W27" s="80">
        <f t="shared" si="3"/>
        <v>0</v>
      </c>
    </row>
    <row r="28" ht="129.75" customHeight="1">
      <c r="B28" s="268" t="s">
        <v>309</v>
      </c>
      <c r="C28" s="269"/>
      <c r="D28" s="270">
        <v>4.0</v>
      </c>
      <c r="E28" s="270" t="s">
        <v>310</v>
      </c>
      <c r="F28" s="46">
        <v>210.0</v>
      </c>
      <c r="G28" s="121"/>
      <c r="H28" s="122"/>
      <c r="I28" s="123"/>
      <c r="J28" s="124"/>
      <c r="K28" s="247"/>
      <c r="L28" s="126"/>
      <c r="M28" s="127"/>
      <c r="N28" s="128"/>
      <c r="O28" s="129"/>
      <c r="P28" s="130"/>
      <c r="Q28" s="131"/>
      <c r="R28" s="132"/>
      <c r="S28" s="248"/>
      <c r="T28" s="134">
        <f t="shared" si="1"/>
        <v>0</v>
      </c>
      <c r="U28" s="134">
        <f t="shared" si="7"/>
        <v>0</v>
      </c>
      <c r="V28" s="134">
        <f>T28*3.02</f>
        <v>0</v>
      </c>
      <c r="W28" s="135">
        <f t="shared" si="3"/>
        <v>0</v>
      </c>
    </row>
    <row r="29" ht="129.75" customHeight="1">
      <c r="B29" s="268" t="s">
        <v>311</v>
      </c>
      <c r="C29" s="269"/>
      <c r="D29" s="270">
        <v>5.0</v>
      </c>
      <c r="E29" s="270" t="s">
        <v>312</v>
      </c>
      <c r="F29" s="46">
        <v>190.0</v>
      </c>
      <c r="G29" s="121"/>
      <c r="H29" s="122"/>
      <c r="I29" s="123"/>
      <c r="J29" s="124"/>
      <c r="K29" s="247"/>
      <c r="L29" s="126"/>
      <c r="M29" s="127"/>
      <c r="N29" s="128"/>
      <c r="O29" s="129"/>
      <c r="P29" s="130"/>
      <c r="Q29" s="131"/>
      <c r="R29" s="132"/>
      <c r="S29" s="248"/>
      <c r="T29" s="134">
        <f t="shared" si="1"/>
        <v>0</v>
      </c>
      <c r="U29" s="134">
        <f t="shared" si="7"/>
        <v>0</v>
      </c>
      <c r="V29" s="134">
        <f>T29*2.46</f>
        <v>0</v>
      </c>
      <c r="W29" s="135">
        <f t="shared" si="3"/>
        <v>0</v>
      </c>
    </row>
    <row r="30" ht="129.75" customHeight="1">
      <c r="B30" s="268" t="s">
        <v>313</v>
      </c>
      <c r="C30" s="269"/>
      <c r="D30" s="270">
        <v>5.0</v>
      </c>
      <c r="E30" s="270" t="s">
        <v>314</v>
      </c>
      <c r="F30" s="46">
        <v>174.0</v>
      </c>
      <c r="G30" s="121"/>
      <c r="H30" s="122"/>
      <c r="I30" s="123"/>
      <c r="J30" s="124"/>
      <c r="K30" s="247"/>
      <c r="L30" s="126"/>
      <c r="M30" s="127"/>
      <c r="N30" s="128"/>
      <c r="O30" s="129"/>
      <c r="P30" s="130"/>
      <c r="Q30" s="131"/>
      <c r="R30" s="132"/>
      <c r="S30" s="248"/>
      <c r="T30" s="134">
        <f t="shared" si="1"/>
        <v>0</v>
      </c>
      <c r="U30" s="134">
        <f t="shared" si="7"/>
        <v>0</v>
      </c>
      <c r="V30" s="134">
        <f>T30*3.46</f>
        <v>0</v>
      </c>
      <c r="W30" s="135">
        <f t="shared" si="3"/>
        <v>0</v>
      </c>
    </row>
    <row r="31" ht="129.75" customHeight="1">
      <c r="B31" s="63" t="s">
        <v>315</v>
      </c>
      <c r="C31" s="117"/>
      <c r="D31" s="65">
        <v>5.0</v>
      </c>
      <c r="E31" s="65" t="s">
        <v>316</v>
      </c>
      <c r="F31" s="46">
        <v>71.0</v>
      </c>
      <c r="G31" s="66"/>
      <c r="H31" s="67"/>
      <c r="I31" s="68"/>
      <c r="J31" s="69"/>
      <c r="K31" s="70"/>
      <c r="L31" s="71"/>
      <c r="M31" s="72"/>
      <c r="N31" s="73"/>
      <c r="O31" s="74"/>
      <c r="P31" s="75"/>
      <c r="Q31" s="76"/>
      <c r="R31" s="77"/>
      <c r="S31" s="78"/>
      <c r="T31" s="79">
        <f t="shared" si="1"/>
        <v>0</v>
      </c>
      <c r="U31" s="79">
        <f t="shared" si="7"/>
        <v>0</v>
      </c>
      <c r="V31" s="79">
        <f>T31*1.67</f>
        <v>0</v>
      </c>
      <c r="W31" s="80">
        <f t="shared" si="3"/>
        <v>0</v>
      </c>
    </row>
    <row r="32" ht="129.75" customHeight="1">
      <c r="B32" s="63" t="s">
        <v>175</v>
      </c>
      <c r="C32" s="117"/>
      <c r="D32" s="65">
        <v>5.0</v>
      </c>
      <c r="E32" s="65" t="s">
        <v>317</v>
      </c>
      <c r="F32" s="46">
        <v>98.0</v>
      </c>
      <c r="G32" s="66"/>
      <c r="H32" s="67"/>
      <c r="I32" s="68"/>
      <c r="J32" s="69"/>
      <c r="K32" s="70"/>
      <c r="L32" s="71"/>
      <c r="M32" s="72"/>
      <c r="N32" s="73"/>
      <c r="O32" s="74"/>
      <c r="P32" s="75"/>
      <c r="Q32" s="76"/>
      <c r="R32" s="77"/>
      <c r="S32" s="78"/>
      <c r="T32" s="79">
        <f t="shared" si="1"/>
        <v>0</v>
      </c>
      <c r="U32" s="79">
        <f t="shared" si="7"/>
        <v>0</v>
      </c>
      <c r="V32" s="79">
        <f>T32*1.79</f>
        <v>0</v>
      </c>
      <c r="W32" s="80">
        <f t="shared" si="3"/>
        <v>0</v>
      </c>
    </row>
    <row r="33" ht="129.75" customHeight="1">
      <c r="B33" s="63" t="s">
        <v>177</v>
      </c>
      <c r="C33" s="117"/>
      <c r="D33" s="65">
        <v>5.0</v>
      </c>
      <c r="E33" s="65" t="s">
        <v>318</v>
      </c>
      <c r="F33" s="46">
        <v>120.0</v>
      </c>
      <c r="G33" s="66"/>
      <c r="H33" s="67"/>
      <c r="I33" s="68"/>
      <c r="J33" s="69"/>
      <c r="K33" s="70"/>
      <c r="L33" s="71"/>
      <c r="M33" s="72"/>
      <c r="N33" s="73"/>
      <c r="O33" s="74"/>
      <c r="P33" s="75"/>
      <c r="Q33" s="76"/>
      <c r="R33" s="77"/>
      <c r="S33" s="78"/>
      <c r="T33" s="79">
        <f t="shared" si="1"/>
        <v>0</v>
      </c>
      <c r="U33" s="79">
        <f t="shared" si="7"/>
        <v>0</v>
      </c>
      <c r="V33" s="79">
        <f>T33*2.27</f>
        <v>0</v>
      </c>
      <c r="W33" s="80">
        <f t="shared" si="3"/>
        <v>0</v>
      </c>
    </row>
    <row r="34" ht="129.75" customHeight="1">
      <c r="B34" s="268" t="s">
        <v>319</v>
      </c>
      <c r="C34" s="269"/>
      <c r="D34" s="270">
        <v>5.0</v>
      </c>
      <c r="E34" s="270" t="s">
        <v>320</v>
      </c>
      <c r="F34" s="46">
        <v>157.0</v>
      </c>
      <c r="G34" s="121"/>
      <c r="H34" s="122"/>
      <c r="I34" s="123"/>
      <c r="J34" s="124"/>
      <c r="K34" s="247"/>
      <c r="L34" s="126"/>
      <c r="M34" s="127"/>
      <c r="N34" s="128"/>
      <c r="O34" s="129"/>
      <c r="P34" s="130"/>
      <c r="Q34" s="131"/>
      <c r="R34" s="132"/>
      <c r="S34" s="248"/>
      <c r="T34" s="134">
        <f t="shared" si="1"/>
        <v>0</v>
      </c>
      <c r="U34" s="134">
        <f t="shared" si="7"/>
        <v>0</v>
      </c>
      <c r="V34" s="134">
        <f>T34*3.11</f>
        <v>0</v>
      </c>
      <c r="W34" s="135">
        <f t="shared" ref="W34:W35" si="8">+F34*T34</f>
        <v>0</v>
      </c>
    </row>
    <row r="35" ht="129.75" customHeight="1">
      <c r="B35" s="65" t="s">
        <v>181</v>
      </c>
      <c r="C35" s="64"/>
      <c r="D35" s="65">
        <v>5.0</v>
      </c>
      <c r="E35" s="65" t="s">
        <v>321</v>
      </c>
      <c r="F35" s="46">
        <v>175.0</v>
      </c>
      <c r="G35" s="121"/>
      <c r="H35" s="122"/>
      <c r="I35" s="123"/>
      <c r="J35" s="124"/>
      <c r="K35" s="247"/>
      <c r="L35" s="126"/>
      <c r="M35" s="127"/>
      <c r="N35" s="128"/>
      <c r="O35" s="129"/>
      <c r="P35" s="130"/>
      <c r="Q35" s="131"/>
      <c r="R35" s="132"/>
      <c r="S35" s="248"/>
      <c r="T35" s="134">
        <f t="shared" si="1"/>
        <v>0</v>
      </c>
      <c r="U35" s="134">
        <f t="shared" si="7"/>
        <v>0</v>
      </c>
      <c r="V35" s="134">
        <f>T35*3.52</f>
        <v>0</v>
      </c>
      <c r="W35" s="135">
        <f t="shared" si="8"/>
        <v>0</v>
      </c>
    </row>
    <row r="36" ht="15.75" customHeight="1">
      <c r="B36" s="4"/>
      <c r="C36" s="4"/>
      <c r="D36" s="4"/>
      <c r="E36" s="4"/>
      <c r="F36" s="5"/>
      <c r="G36" s="136">
        <f t="shared" ref="G36:U36" si="9">SUM(G5:G35)</f>
        <v>0</v>
      </c>
      <c r="H36" s="136">
        <f t="shared" si="9"/>
        <v>0</v>
      </c>
      <c r="I36" s="136">
        <f t="shared" si="9"/>
        <v>0</v>
      </c>
      <c r="J36" s="136">
        <f t="shared" si="9"/>
        <v>0</v>
      </c>
      <c r="K36" s="136">
        <f t="shared" si="9"/>
        <v>0</v>
      </c>
      <c r="L36" s="136">
        <f t="shared" si="9"/>
        <v>0</v>
      </c>
      <c r="M36" s="136">
        <f t="shared" si="9"/>
        <v>0</v>
      </c>
      <c r="N36" s="136">
        <f t="shared" si="9"/>
        <v>0</v>
      </c>
      <c r="O36" s="136">
        <f t="shared" si="9"/>
        <v>0</v>
      </c>
      <c r="P36" s="136">
        <f t="shared" si="9"/>
        <v>0</v>
      </c>
      <c r="Q36" s="136">
        <f t="shared" si="9"/>
        <v>0</v>
      </c>
      <c r="R36" s="136">
        <f t="shared" si="9"/>
        <v>0</v>
      </c>
      <c r="S36" s="136">
        <f t="shared" si="9"/>
        <v>0</v>
      </c>
      <c r="T36" s="136">
        <f t="shared" si="9"/>
        <v>0</v>
      </c>
      <c r="U36" s="136">
        <f t="shared" si="9"/>
        <v>0</v>
      </c>
      <c r="V36" s="136">
        <f>SUM(V5:V34)</f>
        <v>0</v>
      </c>
      <c r="W36" s="137">
        <f>SUM(W5:W35)</f>
        <v>0</v>
      </c>
    </row>
    <row r="37" ht="15.75" customHeight="1">
      <c r="F37" s="1"/>
    </row>
    <row r="38" ht="15.75" customHeight="1">
      <c r="F38" s="1"/>
    </row>
    <row r="39" ht="15.75" customHeight="1">
      <c r="F39" s="1"/>
    </row>
    <row r="40" ht="15.75" customHeight="1">
      <c r="F40" s="1"/>
    </row>
    <row r="41" ht="15.75" customHeight="1">
      <c r="F41" s="1"/>
    </row>
    <row r="42" ht="15.75" customHeight="1">
      <c r="F42" s="1"/>
    </row>
    <row r="43" ht="15.75" customHeight="1">
      <c r="F43" s="1"/>
    </row>
    <row r="44" ht="15.75" customHeight="1">
      <c r="F44" s="1"/>
    </row>
    <row r="45" ht="15.75" customHeight="1">
      <c r="F45" s="1"/>
    </row>
    <row r="46" ht="15.75" customHeight="1">
      <c r="F46" s="1"/>
    </row>
    <row r="47" ht="15.75" customHeight="1">
      <c r="F47" s="1"/>
    </row>
    <row r="48" ht="15.75" customHeight="1">
      <c r="F48" s="1"/>
    </row>
    <row r="49" ht="15.75" customHeight="1">
      <c r="F49" s="1"/>
    </row>
    <row r="50" ht="15.75" customHeight="1">
      <c r="F50" s="1"/>
    </row>
    <row r="51" ht="15.75" customHeight="1">
      <c r="F51" s="1"/>
    </row>
    <row r="52" ht="15.75" customHeight="1">
      <c r="F52" s="1"/>
    </row>
    <row r="53" ht="15.75" customHeight="1">
      <c r="F53" s="1"/>
    </row>
    <row r="54" ht="15.75" customHeight="1">
      <c r="F54" s="1"/>
    </row>
    <row r="55" ht="15.75" customHeight="1">
      <c r="F55" s="1"/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>
      <c r="F100" s="1"/>
    </row>
    <row r="101" ht="15.75" customHeight="1">
      <c r="F101" s="1"/>
    </row>
    <row r="102" ht="15.75" customHeight="1">
      <c r="F102" s="1"/>
    </row>
    <row r="103" ht="15.75" customHeight="1">
      <c r="F103" s="1"/>
    </row>
    <row r="104" ht="15.75" customHeight="1">
      <c r="F104" s="1"/>
    </row>
    <row r="105" ht="15.75" customHeight="1">
      <c r="F105" s="1"/>
    </row>
    <row r="106" ht="15.75" customHeight="1">
      <c r="F106" s="1"/>
    </row>
    <row r="107" ht="15.75" customHeight="1">
      <c r="F107" s="1"/>
    </row>
    <row r="108" ht="15.75" customHeight="1">
      <c r="F108" s="1"/>
    </row>
    <row r="109" ht="15.75" customHeight="1">
      <c r="F109" s="1"/>
    </row>
    <row r="110" ht="15.75" customHeight="1">
      <c r="F110" s="1"/>
    </row>
    <row r="111" ht="15.75" customHeight="1">
      <c r="F111" s="1"/>
    </row>
    <row r="112" ht="15.75" customHeight="1">
      <c r="F112" s="1"/>
    </row>
    <row r="113" ht="15.75" customHeight="1">
      <c r="F113" s="1"/>
    </row>
    <row r="114" ht="15.75" customHeight="1">
      <c r="F114" s="1"/>
    </row>
    <row r="115" ht="15.75" customHeight="1">
      <c r="F115" s="1"/>
    </row>
    <row r="116" ht="15.75" customHeight="1">
      <c r="F116" s="1"/>
    </row>
    <row r="117" ht="15.75" customHeight="1">
      <c r="F117" s="1"/>
    </row>
    <row r="118" ht="15.75" customHeight="1">
      <c r="F118" s="1"/>
    </row>
    <row r="119" ht="15.75" customHeight="1">
      <c r="F119" s="1"/>
    </row>
    <row r="120" ht="15.75" customHeight="1">
      <c r="F120" s="1"/>
    </row>
    <row r="121" ht="15.75" customHeight="1">
      <c r="F121" s="1"/>
    </row>
    <row r="122" ht="15.75" customHeight="1">
      <c r="F122" s="1"/>
    </row>
    <row r="123" ht="15.75" customHeight="1">
      <c r="F123" s="1"/>
    </row>
    <row r="124" ht="15.75" customHeight="1">
      <c r="F124" s="1"/>
    </row>
    <row r="125" ht="15.75" customHeight="1">
      <c r="F125" s="1"/>
    </row>
    <row r="126" ht="15.75" customHeight="1">
      <c r="F126" s="1"/>
    </row>
    <row r="127" ht="15.75" customHeight="1">
      <c r="F127" s="1"/>
    </row>
    <row r="128" ht="15.75" customHeight="1">
      <c r="F128" s="1"/>
    </row>
    <row r="129" ht="15.75" customHeight="1">
      <c r="F129" s="1"/>
    </row>
    <row r="130" ht="15.75" customHeight="1">
      <c r="F130" s="1"/>
    </row>
    <row r="131" ht="15.75" customHeight="1">
      <c r="F131" s="1"/>
    </row>
    <row r="132" ht="15.75" customHeight="1">
      <c r="F132" s="1"/>
    </row>
    <row r="133" ht="15.75" customHeight="1">
      <c r="F133" s="1"/>
    </row>
    <row r="134" ht="15.75" customHeight="1">
      <c r="F134" s="1"/>
    </row>
    <row r="135" ht="15.75" customHeight="1">
      <c r="F135" s="1"/>
    </row>
    <row r="136" ht="15.75" customHeight="1">
      <c r="F136" s="1"/>
    </row>
    <row r="137" ht="15.75" customHeight="1">
      <c r="F137" s="1"/>
    </row>
    <row r="138" ht="15.75" customHeight="1">
      <c r="F138" s="1"/>
    </row>
    <row r="139" ht="15.75" customHeight="1">
      <c r="F139" s="1"/>
    </row>
    <row r="140" ht="15.75" customHeight="1">
      <c r="F140" s="1"/>
    </row>
    <row r="141" ht="15.75" customHeight="1">
      <c r="F141" s="1"/>
    </row>
    <row r="142" ht="15.75" customHeight="1">
      <c r="F142" s="1"/>
    </row>
    <row r="143" ht="15.75" customHeight="1">
      <c r="F143" s="1"/>
    </row>
    <row r="144" ht="15.75" customHeight="1">
      <c r="F144" s="1"/>
    </row>
    <row r="145" ht="15.75" customHeight="1">
      <c r="F145" s="1"/>
    </row>
    <row r="146" ht="15.75" customHeight="1">
      <c r="F146" s="1"/>
    </row>
    <row r="147" ht="15.75" customHeight="1">
      <c r="F147" s="1"/>
    </row>
    <row r="148" ht="15.75" customHeight="1">
      <c r="F148" s="1"/>
    </row>
    <row r="149" ht="15.75" customHeight="1">
      <c r="F149" s="1"/>
    </row>
    <row r="150" ht="15.75" customHeight="1">
      <c r="F150" s="1"/>
    </row>
    <row r="151" ht="15.75" customHeight="1">
      <c r="F151" s="1"/>
    </row>
    <row r="152" ht="15.75" customHeight="1">
      <c r="F152" s="1"/>
    </row>
    <row r="153" ht="15.75" customHeight="1">
      <c r="F153" s="1"/>
    </row>
    <row r="154" ht="15.75" customHeight="1">
      <c r="F154" s="1"/>
    </row>
    <row r="155" ht="15.75" customHeight="1">
      <c r="F155" s="1"/>
    </row>
    <row r="156" ht="15.75" customHeight="1">
      <c r="F156" s="1"/>
    </row>
    <row r="157" ht="15.75" customHeight="1">
      <c r="F157" s="1"/>
    </row>
    <row r="158" ht="15.75" customHeight="1">
      <c r="F158" s="1"/>
    </row>
    <row r="159" ht="15.75" customHeight="1">
      <c r="F159" s="1"/>
    </row>
    <row r="160" ht="15.75" customHeight="1">
      <c r="F160" s="1"/>
    </row>
    <row r="161" ht="15.75" customHeight="1">
      <c r="F161" s="1"/>
    </row>
    <row r="162" ht="15.75" customHeight="1">
      <c r="F162" s="1"/>
    </row>
    <row r="163" ht="15.75" customHeight="1">
      <c r="F163" s="1"/>
    </row>
    <row r="164" ht="15.75" customHeight="1">
      <c r="F164" s="1"/>
    </row>
    <row r="165" ht="15.75" customHeight="1">
      <c r="F165" s="1"/>
    </row>
    <row r="166" ht="15.75" customHeight="1">
      <c r="F166" s="1"/>
    </row>
    <row r="167" ht="15.75" customHeight="1">
      <c r="F167" s="1"/>
    </row>
    <row r="168" ht="15.75" customHeight="1">
      <c r="F168" s="1"/>
    </row>
    <row r="169" ht="15.75" customHeight="1">
      <c r="F169" s="1"/>
    </row>
    <row r="170" ht="15.75" customHeight="1">
      <c r="F170" s="1"/>
    </row>
    <row r="171" ht="15.75" customHeight="1">
      <c r="F171" s="1"/>
    </row>
    <row r="172" ht="15.75" customHeight="1">
      <c r="F172" s="1"/>
    </row>
    <row r="173" ht="15.75" customHeight="1">
      <c r="F173" s="1"/>
    </row>
    <row r="174" ht="15.75" customHeight="1">
      <c r="F174" s="1"/>
    </row>
    <row r="175" ht="15.75" customHeight="1">
      <c r="F175" s="1"/>
    </row>
    <row r="176" ht="15.75" customHeight="1">
      <c r="F176" s="1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1"/>
    </row>
    <row r="182" ht="15.75" customHeight="1">
      <c r="F182" s="1"/>
    </row>
    <row r="183" ht="15.75" customHeight="1">
      <c r="F183" s="1"/>
    </row>
    <row r="184" ht="15.75" customHeight="1">
      <c r="F184" s="1"/>
    </row>
    <row r="185" ht="15.75" customHeight="1">
      <c r="F185" s="1"/>
    </row>
    <row r="186" ht="15.75" customHeight="1">
      <c r="F186" s="1"/>
    </row>
    <row r="187" ht="15.75" customHeight="1">
      <c r="F187" s="1"/>
    </row>
    <row r="188" ht="15.75" customHeight="1">
      <c r="F188" s="1"/>
    </row>
    <row r="189" ht="15.75" customHeight="1">
      <c r="F189" s="1"/>
    </row>
    <row r="190" ht="15.75" customHeight="1">
      <c r="F190" s="1"/>
    </row>
    <row r="191" ht="15.75" customHeight="1">
      <c r="F191" s="1"/>
    </row>
    <row r="192" ht="15.75" customHeight="1">
      <c r="F192" s="1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>
      <c r="F202" s="1"/>
    </row>
    <row r="203" ht="15.75" customHeight="1">
      <c r="F203" s="1"/>
    </row>
    <row r="204" ht="15.75" customHeight="1">
      <c r="F204" s="1"/>
    </row>
    <row r="205" ht="15.75" customHeight="1">
      <c r="F205" s="1"/>
    </row>
    <row r="206" ht="15.75" customHeight="1">
      <c r="F206" s="1"/>
    </row>
    <row r="207" ht="15.75" customHeight="1">
      <c r="F207" s="1"/>
    </row>
    <row r="208" ht="15.75" customHeight="1">
      <c r="F208" s="1"/>
    </row>
    <row r="209" ht="15.75" customHeight="1">
      <c r="F209" s="1"/>
    </row>
    <row r="210" ht="15.75" customHeight="1">
      <c r="F210" s="1"/>
    </row>
    <row r="211" ht="15.75" customHeight="1">
      <c r="F211" s="1"/>
    </row>
    <row r="212" ht="15.75" customHeight="1">
      <c r="F212" s="1"/>
    </row>
    <row r="213" ht="15.75" customHeight="1">
      <c r="F213" s="1"/>
    </row>
    <row r="214" ht="15.75" customHeight="1">
      <c r="F214" s="1"/>
    </row>
    <row r="215" ht="15.75" customHeight="1">
      <c r="F215" s="1"/>
    </row>
    <row r="216" ht="15.75" customHeight="1">
      <c r="F216" s="1"/>
    </row>
    <row r="217" ht="15.75" customHeight="1">
      <c r="F217" s="1"/>
    </row>
    <row r="218" ht="15.75" customHeight="1">
      <c r="F218" s="1"/>
    </row>
    <row r="219" ht="15.75" customHeight="1">
      <c r="F219" s="1"/>
    </row>
    <row r="220" ht="15.75" customHeight="1">
      <c r="F220" s="1"/>
    </row>
    <row r="221" ht="15.75" customHeight="1">
      <c r="F221" s="1"/>
    </row>
    <row r="222" ht="15.75" customHeight="1">
      <c r="F222" s="1"/>
    </row>
    <row r="223" ht="15.75" customHeight="1">
      <c r="F223" s="1"/>
    </row>
    <row r="224" ht="15.75" customHeight="1">
      <c r="F224" s="1"/>
    </row>
    <row r="225" ht="15.75" customHeight="1">
      <c r="F225" s="1"/>
    </row>
    <row r="226" ht="15.75" customHeight="1">
      <c r="F226" s="1"/>
    </row>
    <row r="227" ht="15.75" customHeight="1">
      <c r="F227" s="1"/>
    </row>
    <row r="228" ht="15.75" customHeight="1">
      <c r="F228" s="1"/>
    </row>
    <row r="229" ht="15.75" customHeight="1">
      <c r="F229" s="1"/>
    </row>
    <row r="230" ht="15.75" customHeight="1">
      <c r="F230" s="1"/>
    </row>
    <row r="231" ht="15.75" customHeight="1">
      <c r="F231" s="1"/>
    </row>
    <row r="232" ht="15.75" customHeight="1">
      <c r="F232" s="1"/>
    </row>
    <row r="233" ht="15.75" customHeight="1">
      <c r="F233" s="1"/>
    </row>
    <row r="234" ht="15.75" customHeight="1">
      <c r="F234" s="1"/>
    </row>
    <row r="235" ht="15.75" customHeight="1">
      <c r="F235" s="1"/>
    </row>
    <row r="236" ht="15.75" customHeight="1">
      <c r="F236" s="1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D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D08D"/>
    <pageSetUpPr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16.71"/>
    <col customWidth="1" min="3" max="3" width="19.0"/>
    <col customWidth="1" min="4" max="5" width="9.14"/>
    <col customWidth="1" min="6" max="6" width="10.71"/>
    <col customWidth="1" min="7" max="22" width="9.14"/>
    <col customWidth="1" min="23" max="23" width="11.86"/>
  </cols>
  <sheetData>
    <row r="1">
      <c r="F1" s="1"/>
    </row>
    <row r="2">
      <c r="B2" s="271" t="s">
        <v>322</v>
      </c>
    </row>
    <row r="3" ht="13.5" customHeight="1"/>
    <row r="4" ht="30.75" customHeight="1">
      <c r="B4" s="272"/>
      <c r="C4" s="272"/>
      <c r="D4" s="273"/>
      <c r="E4" s="273"/>
      <c r="F4" s="274"/>
      <c r="G4" s="6" t="s">
        <v>1</v>
      </c>
      <c r="H4" s="7" t="s">
        <v>2</v>
      </c>
      <c r="I4" s="8" t="s">
        <v>3</v>
      </c>
      <c r="J4" s="9" t="s">
        <v>4</v>
      </c>
      <c r="K4" s="10" t="s">
        <v>5</v>
      </c>
      <c r="L4" s="11" t="s">
        <v>6</v>
      </c>
      <c r="M4" s="12" t="s">
        <v>7</v>
      </c>
      <c r="N4" s="13" t="s">
        <v>8</v>
      </c>
      <c r="O4" s="14" t="s">
        <v>9</v>
      </c>
      <c r="P4" s="15" t="s">
        <v>10</v>
      </c>
      <c r="Q4" s="16" t="s">
        <v>11</v>
      </c>
      <c r="R4" s="17" t="s">
        <v>12</v>
      </c>
      <c r="S4" s="18" t="s">
        <v>13</v>
      </c>
      <c r="T4" s="4"/>
      <c r="U4" s="4"/>
      <c r="V4" s="4"/>
      <c r="W4" s="4"/>
    </row>
    <row r="5" ht="14.25" customHeight="1">
      <c r="B5" s="20" t="s">
        <v>14</v>
      </c>
      <c r="C5" s="21"/>
      <c r="D5" s="22" t="s">
        <v>16</v>
      </c>
      <c r="E5" s="22" t="s">
        <v>17</v>
      </c>
      <c r="F5" s="23" t="s">
        <v>18</v>
      </c>
      <c r="G5" s="224">
        <v>2.0</v>
      </c>
      <c r="H5" s="225">
        <v>5.0</v>
      </c>
      <c r="I5" s="226">
        <v>7.0</v>
      </c>
      <c r="J5" s="227">
        <v>10.0</v>
      </c>
      <c r="K5" s="228">
        <v>11.0</v>
      </c>
      <c r="L5" s="229">
        <v>12.0</v>
      </c>
      <c r="M5" s="230">
        <v>13.0</v>
      </c>
      <c r="N5" s="231">
        <v>16.0</v>
      </c>
      <c r="O5" s="232">
        <v>69.0</v>
      </c>
      <c r="P5" s="233">
        <v>76.0</v>
      </c>
      <c r="Q5" s="234">
        <v>77.0</v>
      </c>
      <c r="R5" s="235">
        <v>79.0</v>
      </c>
      <c r="S5" s="236">
        <v>81.0</v>
      </c>
      <c r="T5" s="165" t="s">
        <v>19</v>
      </c>
      <c r="U5" s="165" t="s">
        <v>20</v>
      </c>
      <c r="V5" s="165" t="s">
        <v>21</v>
      </c>
      <c r="W5" s="165" t="s">
        <v>85</v>
      </c>
    </row>
    <row r="6">
      <c r="B6" s="4"/>
      <c r="C6" s="4"/>
      <c r="D6" s="275" t="s">
        <v>323</v>
      </c>
      <c r="E6" s="276"/>
      <c r="F6" s="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09"/>
      <c r="T6" s="4"/>
      <c r="U6" s="4"/>
      <c r="V6" s="4"/>
      <c r="W6" s="4"/>
    </row>
    <row r="7" ht="99.75" customHeight="1">
      <c r="B7" s="263" t="s">
        <v>324</v>
      </c>
      <c r="C7" s="277"/>
      <c r="D7" s="265">
        <v>10.0</v>
      </c>
      <c r="E7" s="265" t="s">
        <v>325</v>
      </c>
      <c r="F7" s="46">
        <v>121.0</v>
      </c>
      <c r="G7" s="278"/>
      <c r="H7" s="279"/>
      <c r="I7" s="280"/>
      <c r="J7" s="281"/>
      <c r="K7" s="282"/>
      <c r="L7" s="283"/>
      <c r="M7" s="284"/>
      <c r="N7" s="285"/>
      <c r="O7" s="286"/>
      <c r="P7" s="287"/>
      <c r="Q7" s="288"/>
      <c r="R7" s="266"/>
      <c r="S7" s="289"/>
      <c r="T7" s="266">
        <f t="shared" ref="T7:T18" si="1">SUM(G7:S7)</f>
        <v>0</v>
      </c>
      <c r="U7" s="266">
        <f t="shared" ref="U7:U18" si="2">D7*T7</f>
        <v>0</v>
      </c>
      <c r="V7" s="266">
        <f>T7*1.98</f>
        <v>0</v>
      </c>
      <c r="W7" s="267">
        <f t="shared" ref="W7:W11" si="3">F7*T7</f>
        <v>0</v>
      </c>
    </row>
    <row r="8" ht="99.75" customHeight="1">
      <c r="B8" s="63" t="s">
        <v>326</v>
      </c>
      <c r="C8" s="245"/>
      <c r="D8" s="65">
        <v>10.0</v>
      </c>
      <c r="E8" s="65" t="s">
        <v>327</v>
      </c>
      <c r="F8" s="46">
        <v>158.0</v>
      </c>
      <c r="G8" s="290"/>
      <c r="H8" s="291"/>
      <c r="I8" s="292"/>
      <c r="J8" s="293"/>
      <c r="K8" s="294"/>
      <c r="L8" s="295"/>
      <c r="M8" s="296"/>
      <c r="N8" s="297"/>
      <c r="O8" s="298"/>
      <c r="P8" s="299"/>
      <c r="Q8" s="300"/>
      <c r="R8" s="79"/>
      <c r="S8" s="301"/>
      <c r="T8" s="79">
        <f t="shared" si="1"/>
        <v>0</v>
      </c>
      <c r="U8" s="79">
        <f t="shared" si="2"/>
        <v>0</v>
      </c>
      <c r="V8" s="79">
        <f>T8*2.82</f>
        <v>0</v>
      </c>
      <c r="W8" s="80">
        <f t="shared" si="3"/>
        <v>0</v>
      </c>
    </row>
    <row r="9" ht="99.75" customHeight="1">
      <c r="B9" s="63" t="s">
        <v>328</v>
      </c>
      <c r="C9" s="245"/>
      <c r="D9" s="65">
        <v>10.0</v>
      </c>
      <c r="E9" s="65" t="s">
        <v>329</v>
      </c>
      <c r="F9" s="46">
        <v>273.0</v>
      </c>
      <c r="G9" s="290"/>
      <c r="H9" s="291"/>
      <c r="I9" s="292"/>
      <c r="J9" s="293"/>
      <c r="K9" s="294"/>
      <c r="L9" s="295"/>
      <c r="M9" s="296"/>
      <c r="N9" s="297"/>
      <c r="O9" s="298"/>
      <c r="P9" s="299"/>
      <c r="Q9" s="300"/>
      <c r="R9" s="79"/>
      <c r="S9" s="301"/>
      <c r="T9" s="79">
        <f t="shared" si="1"/>
        <v>0</v>
      </c>
      <c r="U9" s="79">
        <f t="shared" si="2"/>
        <v>0</v>
      </c>
      <c r="V9" s="79">
        <f>T9*5.41</f>
        <v>0</v>
      </c>
      <c r="W9" s="80">
        <f t="shared" si="3"/>
        <v>0</v>
      </c>
    </row>
    <row r="10" ht="99.75" customHeight="1">
      <c r="B10" s="63" t="s">
        <v>330</v>
      </c>
      <c r="C10" s="245"/>
      <c r="D10" s="65">
        <v>5.0</v>
      </c>
      <c r="E10" s="65" t="s">
        <v>331</v>
      </c>
      <c r="F10" s="46">
        <v>171.0</v>
      </c>
      <c r="G10" s="290"/>
      <c r="H10" s="291"/>
      <c r="I10" s="292"/>
      <c r="J10" s="293"/>
      <c r="K10" s="294"/>
      <c r="L10" s="295"/>
      <c r="M10" s="296"/>
      <c r="N10" s="297"/>
      <c r="O10" s="298"/>
      <c r="P10" s="299"/>
      <c r="Q10" s="300"/>
      <c r="R10" s="79"/>
      <c r="S10" s="301"/>
      <c r="T10" s="79">
        <f t="shared" si="1"/>
        <v>0</v>
      </c>
      <c r="U10" s="79">
        <f t="shared" si="2"/>
        <v>0</v>
      </c>
      <c r="V10" s="79">
        <f>T10*2.1</f>
        <v>0</v>
      </c>
      <c r="W10" s="80">
        <f t="shared" si="3"/>
        <v>0</v>
      </c>
    </row>
    <row r="11" ht="99.75" customHeight="1">
      <c r="B11" s="63" t="s">
        <v>332</v>
      </c>
      <c r="C11" s="245"/>
      <c r="D11" s="65">
        <v>10.0</v>
      </c>
      <c r="E11" s="65" t="s">
        <v>333</v>
      </c>
      <c r="F11" s="46">
        <v>404.0</v>
      </c>
      <c r="G11" s="290"/>
      <c r="H11" s="291"/>
      <c r="I11" s="292"/>
      <c r="J11" s="293"/>
      <c r="K11" s="294"/>
      <c r="L11" s="295"/>
      <c r="M11" s="296"/>
      <c r="N11" s="297"/>
      <c r="O11" s="298"/>
      <c r="P11" s="299"/>
      <c r="Q11" s="300"/>
      <c r="R11" s="79"/>
      <c r="S11" s="301"/>
      <c r="T11" s="79">
        <f t="shared" si="1"/>
        <v>0</v>
      </c>
      <c r="U11" s="79">
        <f t="shared" si="2"/>
        <v>0</v>
      </c>
      <c r="V11" s="79">
        <f>T11*5.48</f>
        <v>0</v>
      </c>
      <c r="W11" s="80">
        <f t="shared" si="3"/>
        <v>0</v>
      </c>
    </row>
    <row r="12" ht="99.75" customHeight="1">
      <c r="B12" s="63" t="s">
        <v>334</v>
      </c>
      <c r="C12" s="245"/>
      <c r="D12" s="65">
        <v>3.0</v>
      </c>
      <c r="E12" s="65" t="s">
        <v>335</v>
      </c>
      <c r="F12" s="46">
        <v>135.0</v>
      </c>
      <c r="G12" s="290"/>
      <c r="H12" s="291"/>
      <c r="I12" s="292"/>
      <c r="J12" s="293"/>
      <c r="K12" s="294"/>
      <c r="L12" s="295"/>
      <c r="M12" s="296"/>
      <c r="N12" s="297"/>
      <c r="O12" s="298"/>
      <c r="P12" s="299"/>
      <c r="Q12" s="300"/>
      <c r="R12" s="79"/>
      <c r="S12" s="301"/>
      <c r="T12" s="79">
        <f t="shared" si="1"/>
        <v>0</v>
      </c>
      <c r="U12" s="79">
        <f t="shared" si="2"/>
        <v>0</v>
      </c>
      <c r="V12" s="79">
        <f>T12*1.83</f>
        <v>0</v>
      </c>
      <c r="W12" s="80">
        <f t="shared" ref="W12:W15" si="4">T12*F12</f>
        <v>0</v>
      </c>
    </row>
    <row r="13" ht="99.75" customHeight="1">
      <c r="B13" s="63" t="s">
        <v>336</v>
      </c>
      <c r="C13" s="245"/>
      <c r="D13" s="65">
        <v>5.0</v>
      </c>
      <c r="E13" s="65" t="s">
        <v>337</v>
      </c>
      <c r="F13" s="46">
        <v>325.0</v>
      </c>
      <c r="G13" s="290"/>
      <c r="H13" s="291"/>
      <c r="I13" s="292"/>
      <c r="J13" s="293"/>
      <c r="K13" s="294"/>
      <c r="L13" s="295"/>
      <c r="M13" s="296"/>
      <c r="N13" s="297"/>
      <c r="O13" s="298"/>
      <c r="P13" s="299"/>
      <c r="Q13" s="300"/>
      <c r="R13" s="79"/>
      <c r="S13" s="301"/>
      <c r="T13" s="79">
        <f t="shared" si="1"/>
        <v>0</v>
      </c>
      <c r="U13" s="79">
        <f t="shared" si="2"/>
        <v>0</v>
      </c>
      <c r="V13" s="79">
        <f>T13*5.1</f>
        <v>0</v>
      </c>
      <c r="W13" s="80">
        <f t="shared" si="4"/>
        <v>0</v>
      </c>
    </row>
    <row r="14" ht="99.75" customHeight="1">
      <c r="B14" s="63" t="s">
        <v>338</v>
      </c>
      <c r="C14" s="245"/>
      <c r="D14" s="65">
        <v>3.0</v>
      </c>
      <c r="E14" s="65" t="s">
        <v>339</v>
      </c>
      <c r="F14" s="46">
        <v>173.0</v>
      </c>
      <c r="G14" s="290"/>
      <c r="H14" s="291"/>
      <c r="I14" s="292"/>
      <c r="J14" s="293"/>
      <c r="K14" s="294"/>
      <c r="L14" s="295"/>
      <c r="M14" s="296"/>
      <c r="N14" s="297"/>
      <c r="O14" s="298"/>
      <c r="P14" s="299"/>
      <c r="Q14" s="300"/>
      <c r="R14" s="79"/>
      <c r="S14" s="301"/>
      <c r="T14" s="79">
        <f t="shared" si="1"/>
        <v>0</v>
      </c>
      <c r="U14" s="79">
        <f t="shared" si="2"/>
        <v>0</v>
      </c>
      <c r="V14" s="79">
        <f>T14*2.6</f>
        <v>0</v>
      </c>
      <c r="W14" s="80">
        <f t="shared" si="4"/>
        <v>0</v>
      </c>
    </row>
    <row r="15" ht="99.75" customHeight="1">
      <c r="B15" s="63" t="s">
        <v>340</v>
      </c>
      <c r="C15" s="245"/>
      <c r="D15" s="65">
        <v>3.0</v>
      </c>
      <c r="E15" s="65" t="s">
        <v>341</v>
      </c>
      <c r="F15" s="46">
        <v>221.0</v>
      </c>
      <c r="G15" s="290"/>
      <c r="H15" s="291"/>
      <c r="I15" s="292"/>
      <c r="J15" s="293"/>
      <c r="K15" s="294"/>
      <c r="L15" s="295"/>
      <c r="M15" s="296"/>
      <c r="N15" s="297"/>
      <c r="O15" s="298"/>
      <c r="P15" s="299"/>
      <c r="Q15" s="300"/>
      <c r="R15" s="79"/>
      <c r="S15" s="301"/>
      <c r="T15" s="79">
        <f t="shared" si="1"/>
        <v>0</v>
      </c>
      <c r="U15" s="79">
        <f t="shared" si="2"/>
        <v>0</v>
      </c>
      <c r="V15" s="79">
        <f>T15*3.5</f>
        <v>0</v>
      </c>
      <c r="W15" s="80">
        <f t="shared" si="4"/>
        <v>0</v>
      </c>
    </row>
    <row r="16" ht="99.75" customHeight="1">
      <c r="B16" s="63" t="s">
        <v>342</v>
      </c>
      <c r="C16" s="245"/>
      <c r="D16" s="65">
        <v>1.0</v>
      </c>
      <c r="E16" s="65" t="s">
        <v>343</v>
      </c>
      <c r="F16" s="46">
        <v>191.0</v>
      </c>
      <c r="G16" s="290"/>
      <c r="H16" s="291"/>
      <c r="I16" s="292"/>
      <c r="J16" s="293"/>
      <c r="K16" s="294"/>
      <c r="L16" s="295"/>
      <c r="M16" s="296"/>
      <c r="N16" s="297"/>
      <c r="O16" s="298"/>
      <c r="P16" s="299"/>
      <c r="Q16" s="300"/>
      <c r="R16" s="79"/>
      <c r="S16" s="301"/>
      <c r="T16" s="79">
        <f t="shared" si="1"/>
        <v>0</v>
      </c>
      <c r="U16" s="79">
        <f t="shared" si="2"/>
        <v>0</v>
      </c>
      <c r="V16" s="79">
        <f>T16*3.4</f>
        <v>0</v>
      </c>
      <c r="W16" s="80">
        <f t="shared" ref="W16:W18" si="5">F16*T16</f>
        <v>0</v>
      </c>
    </row>
    <row r="17" ht="99.75" customHeight="1">
      <c r="B17" s="63" t="s">
        <v>344</v>
      </c>
      <c r="C17" s="245"/>
      <c r="D17" s="65">
        <v>1.0</v>
      </c>
      <c r="E17" s="65" t="s">
        <v>345</v>
      </c>
      <c r="F17" s="46">
        <v>224.0</v>
      </c>
      <c r="G17" s="290"/>
      <c r="H17" s="291"/>
      <c r="I17" s="292"/>
      <c r="J17" s="293"/>
      <c r="K17" s="294"/>
      <c r="L17" s="295"/>
      <c r="M17" s="296"/>
      <c r="N17" s="297"/>
      <c r="O17" s="298"/>
      <c r="P17" s="299"/>
      <c r="Q17" s="300"/>
      <c r="R17" s="79"/>
      <c r="S17" s="301"/>
      <c r="T17" s="79">
        <f t="shared" si="1"/>
        <v>0</v>
      </c>
      <c r="U17" s="79">
        <f t="shared" si="2"/>
        <v>0</v>
      </c>
      <c r="V17" s="79">
        <f>T17*4</f>
        <v>0</v>
      </c>
      <c r="W17" s="80">
        <f t="shared" si="5"/>
        <v>0</v>
      </c>
    </row>
    <row r="18" ht="99.75" customHeight="1">
      <c r="B18" s="246" t="s">
        <v>346</v>
      </c>
      <c r="C18" s="302"/>
      <c r="D18" s="120">
        <v>1.0</v>
      </c>
      <c r="E18" s="120" t="s">
        <v>347</v>
      </c>
      <c r="F18" s="46">
        <v>206.0</v>
      </c>
      <c r="G18" s="303"/>
      <c r="H18" s="304"/>
      <c r="I18" s="305"/>
      <c r="J18" s="306"/>
      <c r="K18" s="307"/>
      <c r="L18" s="308"/>
      <c r="M18" s="309"/>
      <c r="N18" s="310"/>
      <c r="O18" s="311"/>
      <c r="P18" s="312"/>
      <c r="Q18" s="313"/>
      <c r="R18" s="314"/>
      <c r="S18" s="315"/>
      <c r="T18" s="314">
        <f t="shared" si="1"/>
        <v>0</v>
      </c>
      <c r="U18" s="314">
        <f t="shared" si="2"/>
        <v>0</v>
      </c>
      <c r="V18" s="314">
        <f>T18*3.7</f>
        <v>0</v>
      </c>
      <c r="W18" s="316">
        <f t="shared" si="5"/>
        <v>0</v>
      </c>
    </row>
    <row r="19">
      <c r="F19" s="317"/>
      <c r="G19" s="105">
        <f t="shared" ref="G19:W19" si="6">SUM(G7:G18)</f>
        <v>0</v>
      </c>
      <c r="H19" s="105">
        <f t="shared" si="6"/>
        <v>0</v>
      </c>
      <c r="I19" s="105">
        <f t="shared" si="6"/>
        <v>0</v>
      </c>
      <c r="J19" s="105">
        <f t="shared" si="6"/>
        <v>0</v>
      </c>
      <c r="K19" s="105">
        <f t="shared" si="6"/>
        <v>0</v>
      </c>
      <c r="L19" s="105">
        <f t="shared" si="6"/>
        <v>0</v>
      </c>
      <c r="M19" s="105">
        <f t="shared" si="6"/>
        <v>0</v>
      </c>
      <c r="N19" s="105">
        <f t="shared" si="6"/>
        <v>0</v>
      </c>
      <c r="O19" s="105">
        <f t="shared" si="6"/>
        <v>0</v>
      </c>
      <c r="P19" s="105">
        <f t="shared" si="6"/>
        <v>0</v>
      </c>
      <c r="Q19" s="105">
        <f t="shared" si="6"/>
        <v>0</v>
      </c>
      <c r="R19" s="105">
        <f t="shared" si="6"/>
        <v>0</v>
      </c>
      <c r="S19" s="105">
        <f t="shared" si="6"/>
        <v>0</v>
      </c>
      <c r="T19" s="105">
        <f t="shared" si="6"/>
        <v>0</v>
      </c>
      <c r="U19" s="105">
        <f t="shared" si="6"/>
        <v>0</v>
      </c>
      <c r="V19" s="105">
        <f t="shared" si="6"/>
        <v>0</v>
      </c>
      <c r="W19" s="106">
        <f t="shared" si="6"/>
        <v>0</v>
      </c>
    </row>
    <row r="20">
      <c r="F20" s="317"/>
      <c r="J20" s="318"/>
      <c r="W20" s="107"/>
    </row>
    <row r="21" ht="15.75" customHeight="1">
      <c r="B21" s="319"/>
      <c r="C21" s="319"/>
      <c r="D21" s="320" t="s">
        <v>348</v>
      </c>
      <c r="E21" s="3"/>
      <c r="F21" s="321"/>
      <c r="G21" s="4"/>
      <c r="H21" s="4"/>
      <c r="I21" s="4"/>
      <c r="J21" s="10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110"/>
    </row>
    <row r="22" ht="15.75" customHeight="1">
      <c r="B22" s="319"/>
      <c r="C22" s="319"/>
      <c r="D22" s="139"/>
      <c r="E22" s="319"/>
      <c r="F22" s="321"/>
      <c r="G22" s="4"/>
      <c r="H22" s="4"/>
      <c r="I22" s="4"/>
      <c r="J22" s="10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110"/>
    </row>
    <row r="23" ht="99.75" customHeight="1">
      <c r="B23" s="263" t="s">
        <v>110</v>
      </c>
      <c r="C23" s="265"/>
      <c r="D23" s="265">
        <v>10.0</v>
      </c>
      <c r="E23" s="265" t="s">
        <v>349</v>
      </c>
      <c r="F23" s="46">
        <v>70.0</v>
      </c>
      <c r="G23" s="278"/>
      <c r="H23" s="279"/>
      <c r="I23" s="280"/>
      <c r="J23" s="281"/>
      <c r="K23" s="282"/>
      <c r="L23" s="283"/>
      <c r="M23" s="284"/>
      <c r="N23" s="285"/>
      <c r="O23" s="286"/>
      <c r="P23" s="287"/>
      <c r="Q23" s="288"/>
      <c r="R23" s="266"/>
      <c r="S23" s="289"/>
      <c r="T23" s="266">
        <f t="shared" ref="T23:T54" si="7">SUM(G23:S23)</f>
        <v>0</v>
      </c>
      <c r="U23" s="266">
        <f t="shared" ref="U23:U28" si="8">D23*T23</f>
        <v>0</v>
      </c>
      <c r="V23" s="266">
        <f>T23*0.83</f>
        <v>0</v>
      </c>
      <c r="W23" s="267">
        <f t="shared" ref="W23:W24" si="9">F23*T23</f>
        <v>0</v>
      </c>
    </row>
    <row r="24" ht="99.75" customHeight="1">
      <c r="B24" s="322" t="s">
        <v>350</v>
      </c>
      <c r="C24" s="323"/>
      <c r="D24" s="323">
        <v>10.0</v>
      </c>
      <c r="E24" s="323" t="s">
        <v>351</v>
      </c>
      <c r="F24" s="46">
        <v>99.0</v>
      </c>
      <c r="G24" s="324"/>
      <c r="H24" s="325"/>
      <c r="I24" s="326"/>
      <c r="J24" s="327"/>
      <c r="K24" s="328"/>
      <c r="L24" s="329"/>
      <c r="M24" s="330"/>
      <c r="N24" s="331"/>
      <c r="O24" s="332"/>
      <c r="P24" s="333"/>
      <c r="Q24" s="334"/>
      <c r="R24" s="221"/>
      <c r="S24" s="335"/>
      <c r="T24" s="266">
        <f t="shared" si="7"/>
        <v>0</v>
      </c>
      <c r="U24" s="266">
        <f t="shared" si="8"/>
        <v>0</v>
      </c>
      <c r="V24" s="221">
        <f>T24*1.18</f>
        <v>0</v>
      </c>
      <c r="W24" s="267">
        <f t="shared" si="9"/>
        <v>0</v>
      </c>
    </row>
    <row r="25" ht="99.75" customHeight="1">
      <c r="B25" s="63" t="s">
        <v>112</v>
      </c>
      <c r="C25" s="65"/>
      <c r="D25" s="65">
        <v>10.0</v>
      </c>
      <c r="E25" s="65" t="s">
        <v>352</v>
      </c>
      <c r="F25" s="46">
        <v>51.0</v>
      </c>
      <c r="G25" s="290"/>
      <c r="H25" s="291"/>
      <c r="I25" s="292"/>
      <c r="J25" s="293"/>
      <c r="K25" s="294"/>
      <c r="L25" s="295"/>
      <c r="M25" s="296"/>
      <c r="N25" s="297"/>
      <c r="O25" s="298"/>
      <c r="P25" s="299"/>
      <c r="Q25" s="300"/>
      <c r="R25" s="79"/>
      <c r="S25" s="301"/>
      <c r="T25" s="79">
        <f t="shared" si="7"/>
        <v>0</v>
      </c>
      <c r="U25" s="266">
        <f t="shared" si="8"/>
        <v>0</v>
      </c>
      <c r="V25" s="79">
        <f>T25*0.43</f>
        <v>0</v>
      </c>
      <c r="W25" s="80">
        <f t="shared" ref="W25:W54" si="10">T25*F25</f>
        <v>0</v>
      </c>
    </row>
    <row r="26" ht="99.75" customHeight="1">
      <c r="B26" s="63" t="s">
        <v>274</v>
      </c>
      <c r="C26" s="65"/>
      <c r="D26" s="65">
        <v>9.0</v>
      </c>
      <c r="E26" s="65" t="s">
        <v>353</v>
      </c>
      <c r="F26" s="46">
        <v>118.0</v>
      </c>
      <c r="G26" s="290"/>
      <c r="H26" s="291"/>
      <c r="I26" s="292"/>
      <c r="J26" s="293"/>
      <c r="K26" s="294"/>
      <c r="L26" s="295"/>
      <c r="M26" s="296"/>
      <c r="N26" s="297"/>
      <c r="O26" s="298"/>
      <c r="P26" s="299"/>
      <c r="Q26" s="300"/>
      <c r="R26" s="79"/>
      <c r="S26" s="301"/>
      <c r="T26" s="79">
        <f t="shared" si="7"/>
        <v>0</v>
      </c>
      <c r="U26" s="79">
        <f t="shared" si="8"/>
        <v>0</v>
      </c>
      <c r="V26" s="79">
        <f>T26*2.02</f>
        <v>0</v>
      </c>
      <c r="W26" s="80">
        <f t="shared" si="10"/>
        <v>0</v>
      </c>
    </row>
    <row r="27" ht="99.75" customHeight="1">
      <c r="B27" s="63" t="s">
        <v>354</v>
      </c>
      <c r="C27" s="65"/>
      <c r="D27" s="65">
        <v>5.0</v>
      </c>
      <c r="E27" s="65" t="s">
        <v>355</v>
      </c>
      <c r="F27" s="46">
        <v>119.0</v>
      </c>
      <c r="G27" s="290"/>
      <c r="H27" s="291"/>
      <c r="I27" s="292"/>
      <c r="J27" s="293"/>
      <c r="K27" s="294"/>
      <c r="L27" s="295"/>
      <c r="M27" s="296"/>
      <c r="N27" s="297"/>
      <c r="O27" s="298"/>
      <c r="P27" s="299"/>
      <c r="Q27" s="300"/>
      <c r="R27" s="79"/>
      <c r="S27" s="301"/>
      <c r="T27" s="79">
        <f t="shared" si="7"/>
        <v>0</v>
      </c>
      <c r="U27" s="79">
        <f t="shared" si="8"/>
        <v>0</v>
      </c>
      <c r="V27" s="79">
        <f>T27*2.29</f>
        <v>0</v>
      </c>
      <c r="W27" s="80">
        <f t="shared" si="10"/>
        <v>0</v>
      </c>
    </row>
    <row r="28" ht="99.75" customHeight="1">
      <c r="B28" s="63" t="s">
        <v>356</v>
      </c>
      <c r="C28" s="65"/>
      <c r="D28" s="65">
        <v>5.0</v>
      </c>
      <c r="E28" s="65" t="s">
        <v>357</v>
      </c>
      <c r="F28" s="46">
        <v>117.0</v>
      </c>
      <c r="G28" s="290"/>
      <c r="H28" s="291"/>
      <c r="I28" s="292"/>
      <c r="J28" s="293"/>
      <c r="K28" s="294"/>
      <c r="L28" s="295"/>
      <c r="M28" s="296"/>
      <c r="N28" s="297"/>
      <c r="O28" s="298"/>
      <c r="P28" s="299"/>
      <c r="Q28" s="300"/>
      <c r="R28" s="79"/>
      <c r="S28" s="301"/>
      <c r="T28" s="79">
        <f t="shared" si="7"/>
        <v>0</v>
      </c>
      <c r="U28" s="79">
        <f t="shared" si="8"/>
        <v>0</v>
      </c>
      <c r="V28" s="79">
        <f>T28*2.2</f>
        <v>0</v>
      </c>
      <c r="W28" s="80">
        <f t="shared" si="10"/>
        <v>0</v>
      </c>
    </row>
    <row r="29" ht="99.75" customHeight="1">
      <c r="B29" s="63" t="s">
        <v>358</v>
      </c>
      <c r="C29" s="65"/>
      <c r="D29" s="65">
        <v>5.0</v>
      </c>
      <c r="E29" s="65" t="s">
        <v>359</v>
      </c>
      <c r="F29" s="46">
        <v>139.0</v>
      </c>
      <c r="G29" s="290"/>
      <c r="H29" s="291"/>
      <c r="I29" s="292"/>
      <c r="J29" s="293"/>
      <c r="K29" s="294"/>
      <c r="L29" s="295"/>
      <c r="M29" s="296"/>
      <c r="N29" s="297"/>
      <c r="O29" s="298"/>
      <c r="P29" s="299"/>
      <c r="Q29" s="300"/>
      <c r="R29" s="79"/>
      <c r="S29" s="301"/>
      <c r="T29" s="79">
        <f t="shared" si="7"/>
        <v>0</v>
      </c>
      <c r="U29" s="79">
        <f>T29*D29</f>
        <v>0</v>
      </c>
      <c r="V29" s="79">
        <f>T29*1.5</f>
        <v>0</v>
      </c>
      <c r="W29" s="80">
        <f t="shared" si="10"/>
        <v>0</v>
      </c>
    </row>
    <row r="30" ht="99.75" customHeight="1">
      <c r="B30" s="63" t="s">
        <v>360</v>
      </c>
      <c r="C30" s="65"/>
      <c r="D30" s="65">
        <v>10.0</v>
      </c>
      <c r="E30" s="65" t="s">
        <v>361</v>
      </c>
      <c r="F30" s="46">
        <v>128.0</v>
      </c>
      <c r="G30" s="290"/>
      <c r="H30" s="291"/>
      <c r="I30" s="292"/>
      <c r="J30" s="293"/>
      <c r="K30" s="294"/>
      <c r="L30" s="295"/>
      <c r="M30" s="296"/>
      <c r="N30" s="297"/>
      <c r="O30" s="298"/>
      <c r="P30" s="299"/>
      <c r="Q30" s="300"/>
      <c r="R30" s="79"/>
      <c r="S30" s="301"/>
      <c r="T30" s="79">
        <f t="shared" si="7"/>
        <v>0</v>
      </c>
      <c r="U30" s="79">
        <f>D30*T30</f>
        <v>0</v>
      </c>
      <c r="V30" s="79">
        <f>T30*2.14</f>
        <v>0</v>
      </c>
      <c r="W30" s="80">
        <f t="shared" si="10"/>
        <v>0</v>
      </c>
    </row>
    <row r="31" ht="99.75" customHeight="1">
      <c r="B31" s="116" t="s">
        <v>362</v>
      </c>
      <c r="C31" s="65"/>
      <c r="D31" s="65">
        <v>10.0</v>
      </c>
      <c r="E31" s="65" t="s">
        <v>363</v>
      </c>
      <c r="F31" s="46">
        <v>148.0</v>
      </c>
      <c r="G31" s="290"/>
      <c r="H31" s="291"/>
      <c r="I31" s="292"/>
      <c r="J31" s="293"/>
      <c r="K31" s="294"/>
      <c r="L31" s="295"/>
      <c r="M31" s="296"/>
      <c r="N31" s="297"/>
      <c r="O31" s="298"/>
      <c r="P31" s="299"/>
      <c r="Q31" s="300"/>
      <c r="R31" s="79"/>
      <c r="S31" s="301"/>
      <c r="T31" s="79">
        <f t="shared" si="7"/>
        <v>0</v>
      </c>
      <c r="U31" s="79">
        <f t="shared" ref="U31:U32" si="11">T31*D31</f>
        <v>0</v>
      </c>
      <c r="V31" s="79">
        <f>T31*2.24</f>
        <v>0</v>
      </c>
      <c r="W31" s="80">
        <f t="shared" si="10"/>
        <v>0</v>
      </c>
    </row>
    <row r="32" ht="99.75" customHeight="1">
      <c r="B32" s="116" t="s">
        <v>364</v>
      </c>
      <c r="C32" s="65"/>
      <c r="D32" s="65">
        <v>10.0</v>
      </c>
      <c r="E32" s="65" t="s">
        <v>365</v>
      </c>
      <c r="F32" s="112">
        <v>153.0</v>
      </c>
      <c r="G32" s="290"/>
      <c r="H32" s="291"/>
      <c r="I32" s="292"/>
      <c r="J32" s="293"/>
      <c r="K32" s="294"/>
      <c r="L32" s="295"/>
      <c r="M32" s="296"/>
      <c r="N32" s="297"/>
      <c r="O32" s="298"/>
      <c r="P32" s="299"/>
      <c r="Q32" s="300"/>
      <c r="R32" s="79"/>
      <c r="S32" s="301"/>
      <c r="T32" s="79">
        <f t="shared" si="7"/>
        <v>0</v>
      </c>
      <c r="U32" s="79">
        <f t="shared" si="11"/>
        <v>0</v>
      </c>
      <c r="V32" s="79">
        <f>T32*2.34</f>
        <v>0</v>
      </c>
      <c r="W32" s="80">
        <f t="shared" si="10"/>
        <v>0</v>
      </c>
    </row>
    <row r="33" ht="99.75" customHeight="1">
      <c r="B33" s="63" t="s">
        <v>366</v>
      </c>
      <c r="C33" s="65"/>
      <c r="D33" s="65">
        <v>5.0</v>
      </c>
      <c r="E33" s="65" t="s">
        <v>367</v>
      </c>
      <c r="F33" s="46">
        <v>128.0</v>
      </c>
      <c r="G33" s="290"/>
      <c r="H33" s="291"/>
      <c r="I33" s="292"/>
      <c r="J33" s="293"/>
      <c r="K33" s="294"/>
      <c r="L33" s="295"/>
      <c r="M33" s="296"/>
      <c r="N33" s="297"/>
      <c r="O33" s="298"/>
      <c r="P33" s="299"/>
      <c r="Q33" s="300"/>
      <c r="R33" s="79"/>
      <c r="S33" s="301"/>
      <c r="T33" s="79">
        <f t="shared" si="7"/>
        <v>0</v>
      </c>
      <c r="U33" s="79">
        <f>D33*T33</f>
        <v>0</v>
      </c>
      <c r="V33" s="79">
        <f>T33*2.24</f>
        <v>0</v>
      </c>
      <c r="W33" s="80">
        <f t="shared" si="10"/>
        <v>0</v>
      </c>
    </row>
    <row r="34" ht="99.75" customHeight="1">
      <c r="B34" s="116" t="s">
        <v>368</v>
      </c>
      <c r="C34" s="65"/>
      <c r="D34" s="65">
        <v>5.0</v>
      </c>
      <c r="E34" s="65" t="s">
        <v>369</v>
      </c>
      <c r="F34" s="112">
        <v>148.0</v>
      </c>
      <c r="G34" s="290"/>
      <c r="H34" s="291"/>
      <c r="I34" s="292"/>
      <c r="J34" s="293"/>
      <c r="K34" s="294"/>
      <c r="L34" s="295"/>
      <c r="M34" s="296"/>
      <c r="N34" s="297"/>
      <c r="O34" s="298"/>
      <c r="P34" s="299"/>
      <c r="Q34" s="300"/>
      <c r="R34" s="79"/>
      <c r="S34" s="301"/>
      <c r="T34" s="79">
        <f t="shared" si="7"/>
        <v>0</v>
      </c>
      <c r="U34" s="79">
        <f t="shared" ref="U34:U35" si="12">T34*D34</f>
        <v>0</v>
      </c>
      <c r="V34" s="79">
        <f>T34*2.55</f>
        <v>0</v>
      </c>
      <c r="W34" s="80">
        <f t="shared" si="10"/>
        <v>0</v>
      </c>
    </row>
    <row r="35" ht="99.75" customHeight="1">
      <c r="B35" s="116" t="s">
        <v>370</v>
      </c>
      <c r="C35" s="65"/>
      <c r="D35" s="65">
        <v>10.0</v>
      </c>
      <c r="E35" s="65" t="s">
        <v>371</v>
      </c>
      <c r="F35" s="112">
        <v>184.0</v>
      </c>
      <c r="G35" s="290"/>
      <c r="H35" s="291"/>
      <c r="I35" s="292"/>
      <c r="J35" s="293"/>
      <c r="K35" s="294"/>
      <c r="L35" s="295"/>
      <c r="M35" s="296"/>
      <c r="N35" s="297"/>
      <c r="O35" s="298"/>
      <c r="P35" s="299"/>
      <c r="Q35" s="300"/>
      <c r="R35" s="79"/>
      <c r="S35" s="301"/>
      <c r="T35" s="79">
        <f t="shared" si="7"/>
        <v>0</v>
      </c>
      <c r="U35" s="79">
        <f t="shared" si="12"/>
        <v>0</v>
      </c>
      <c r="V35" s="79">
        <f>T35*2.95</f>
        <v>0</v>
      </c>
      <c r="W35" s="80">
        <f t="shared" si="10"/>
        <v>0</v>
      </c>
    </row>
    <row r="36" ht="99.75" customHeight="1">
      <c r="B36" s="63" t="s">
        <v>372</v>
      </c>
      <c r="C36" s="65"/>
      <c r="D36" s="65">
        <v>5.0</v>
      </c>
      <c r="E36" s="65" t="s">
        <v>373</v>
      </c>
      <c r="F36" s="46">
        <v>162.0</v>
      </c>
      <c r="G36" s="290"/>
      <c r="H36" s="291"/>
      <c r="I36" s="292"/>
      <c r="J36" s="293"/>
      <c r="K36" s="294"/>
      <c r="L36" s="295"/>
      <c r="M36" s="296"/>
      <c r="N36" s="297"/>
      <c r="O36" s="298"/>
      <c r="P36" s="299"/>
      <c r="Q36" s="300"/>
      <c r="R36" s="79"/>
      <c r="S36" s="301"/>
      <c r="T36" s="79">
        <f t="shared" si="7"/>
        <v>0</v>
      </c>
      <c r="U36" s="79">
        <f t="shared" ref="U36:U41" si="13">D36*T36</f>
        <v>0</v>
      </c>
      <c r="V36" s="79">
        <f>T36*1.92</f>
        <v>0</v>
      </c>
      <c r="W36" s="80">
        <f t="shared" si="10"/>
        <v>0</v>
      </c>
    </row>
    <row r="37" ht="99.75" customHeight="1">
      <c r="B37" s="63" t="s">
        <v>374</v>
      </c>
      <c r="C37" s="65"/>
      <c r="D37" s="65">
        <v>5.0</v>
      </c>
      <c r="E37" s="65" t="s">
        <v>375</v>
      </c>
      <c r="F37" s="46">
        <v>161.0</v>
      </c>
      <c r="G37" s="290"/>
      <c r="H37" s="291"/>
      <c r="I37" s="292"/>
      <c r="J37" s="293"/>
      <c r="K37" s="294"/>
      <c r="L37" s="295"/>
      <c r="M37" s="296"/>
      <c r="N37" s="297"/>
      <c r="O37" s="298"/>
      <c r="P37" s="299"/>
      <c r="Q37" s="300"/>
      <c r="R37" s="79"/>
      <c r="S37" s="301"/>
      <c r="T37" s="79">
        <f t="shared" si="7"/>
        <v>0</v>
      </c>
      <c r="U37" s="79">
        <f t="shared" si="13"/>
        <v>0</v>
      </c>
      <c r="V37" s="79">
        <f>T37*1.9</f>
        <v>0</v>
      </c>
      <c r="W37" s="80">
        <f t="shared" si="10"/>
        <v>0</v>
      </c>
    </row>
    <row r="38" ht="99.75" customHeight="1">
      <c r="B38" s="63" t="s">
        <v>376</v>
      </c>
      <c r="C38" s="65"/>
      <c r="D38" s="65">
        <v>5.0</v>
      </c>
      <c r="E38" s="65" t="s">
        <v>377</v>
      </c>
      <c r="F38" s="46">
        <v>267.0</v>
      </c>
      <c r="G38" s="290"/>
      <c r="H38" s="291"/>
      <c r="I38" s="292"/>
      <c r="J38" s="293"/>
      <c r="K38" s="294"/>
      <c r="L38" s="295"/>
      <c r="M38" s="296"/>
      <c r="N38" s="297"/>
      <c r="O38" s="298"/>
      <c r="P38" s="299"/>
      <c r="Q38" s="300"/>
      <c r="R38" s="79"/>
      <c r="S38" s="301"/>
      <c r="T38" s="79">
        <f t="shared" si="7"/>
        <v>0</v>
      </c>
      <c r="U38" s="79">
        <f t="shared" si="13"/>
        <v>0</v>
      </c>
      <c r="V38" s="79">
        <f>T38*3.95</f>
        <v>0</v>
      </c>
      <c r="W38" s="80">
        <f t="shared" si="10"/>
        <v>0</v>
      </c>
    </row>
    <row r="39" ht="99.75" customHeight="1">
      <c r="B39" s="63" t="s">
        <v>130</v>
      </c>
      <c r="C39" s="65"/>
      <c r="D39" s="65">
        <v>3.0</v>
      </c>
      <c r="E39" s="65" t="s">
        <v>378</v>
      </c>
      <c r="F39" s="46">
        <v>165.0</v>
      </c>
      <c r="G39" s="290"/>
      <c r="H39" s="291"/>
      <c r="I39" s="292"/>
      <c r="J39" s="293"/>
      <c r="K39" s="294"/>
      <c r="L39" s="295"/>
      <c r="M39" s="296"/>
      <c r="N39" s="297"/>
      <c r="O39" s="298"/>
      <c r="P39" s="299"/>
      <c r="Q39" s="300"/>
      <c r="R39" s="79"/>
      <c r="S39" s="301"/>
      <c r="T39" s="79">
        <f t="shared" si="7"/>
        <v>0</v>
      </c>
      <c r="U39" s="79">
        <f t="shared" si="13"/>
        <v>0</v>
      </c>
      <c r="V39" s="79">
        <f>T39*2.4</f>
        <v>0</v>
      </c>
      <c r="W39" s="80">
        <f t="shared" si="10"/>
        <v>0</v>
      </c>
    </row>
    <row r="40" ht="99.75" customHeight="1">
      <c r="B40" s="63" t="s">
        <v>136</v>
      </c>
      <c r="C40" s="65"/>
      <c r="D40" s="65">
        <v>3.0</v>
      </c>
      <c r="E40" s="65" t="s">
        <v>379</v>
      </c>
      <c r="F40" s="46">
        <v>245.0</v>
      </c>
      <c r="G40" s="290"/>
      <c r="H40" s="291"/>
      <c r="I40" s="292"/>
      <c r="J40" s="293"/>
      <c r="K40" s="294"/>
      <c r="L40" s="295"/>
      <c r="M40" s="296"/>
      <c r="N40" s="297"/>
      <c r="O40" s="298"/>
      <c r="P40" s="299"/>
      <c r="Q40" s="300"/>
      <c r="R40" s="79"/>
      <c r="S40" s="301"/>
      <c r="T40" s="79">
        <f t="shared" si="7"/>
        <v>0</v>
      </c>
      <c r="U40" s="79">
        <f t="shared" si="13"/>
        <v>0</v>
      </c>
      <c r="V40" s="79">
        <f>T40*3.94</f>
        <v>0</v>
      </c>
      <c r="W40" s="80">
        <f t="shared" si="10"/>
        <v>0</v>
      </c>
    </row>
    <row r="41" ht="99.75" customHeight="1">
      <c r="B41" s="63" t="s">
        <v>380</v>
      </c>
      <c r="C41" s="203"/>
      <c r="D41" s="65">
        <v>5.0</v>
      </c>
      <c r="E41" s="65" t="s">
        <v>381</v>
      </c>
      <c r="F41" s="46">
        <v>195.0</v>
      </c>
      <c r="G41" s="290"/>
      <c r="H41" s="291"/>
      <c r="I41" s="292"/>
      <c r="J41" s="293"/>
      <c r="K41" s="294"/>
      <c r="L41" s="295"/>
      <c r="M41" s="296"/>
      <c r="N41" s="297"/>
      <c r="O41" s="298"/>
      <c r="P41" s="299"/>
      <c r="Q41" s="300"/>
      <c r="R41" s="79"/>
      <c r="S41" s="301"/>
      <c r="T41" s="79">
        <f t="shared" si="7"/>
        <v>0</v>
      </c>
      <c r="U41" s="79">
        <f t="shared" si="13"/>
        <v>0</v>
      </c>
      <c r="V41" s="79">
        <f>T41*2.55</f>
        <v>0</v>
      </c>
      <c r="W41" s="80">
        <f t="shared" si="10"/>
        <v>0</v>
      </c>
    </row>
    <row r="42" ht="99.75" customHeight="1">
      <c r="B42" s="63" t="s">
        <v>307</v>
      </c>
      <c r="C42" s="203"/>
      <c r="D42" s="65">
        <v>5.0</v>
      </c>
      <c r="E42" s="65" t="s">
        <v>382</v>
      </c>
      <c r="F42" s="46">
        <v>252.0</v>
      </c>
      <c r="G42" s="290"/>
      <c r="H42" s="291"/>
      <c r="I42" s="292"/>
      <c r="J42" s="293"/>
      <c r="K42" s="294"/>
      <c r="L42" s="295"/>
      <c r="M42" s="296"/>
      <c r="N42" s="297"/>
      <c r="O42" s="298"/>
      <c r="P42" s="299"/>
      <c r="Q42" s="300"/>
      <c r="R42" s="79"/>
      <c r="S42" s="301"/>
      <c r="T42" s="79">
        <f t="shared" si="7"/>
        <v>0</v>
      </c>
      <c r="U42" s="79">
        <f>T42*D42</f>
        <v>0</v>
      </c>
      <c r="V42" s="79">
        <f>T42*3.66</f>
        <v>0</v>
      </c>
      <c r="W42" s="80">
        <f t="shared" si="10"/>
        <v>0</v>
      </c>
    </row>
    <row r="43" ht="99.75" customHeight="1">
      <c r="B43" s="63" t="s">
        <v>383</v>
      </c>
      <c r="C43" s="203"/>
      <c r="D43" s="65">
        <v>4.0</v>
      </c>
      <c r="E43" s="65" t="s">
        <v>384</v>
      </c>
      <c r="F43" s="46">
        <v>243.0</v>
      </c>
      <c r="G43" s="290"/>
      <c r="H43" s="291"/>
      <c r="I43" s="292"/>
      <c r="J43" s="293"/>
      <c r="K43" s="294"/>
      <c r="L43" s="295"/>
      <c r="M43" s="296"/>
      <c r="N43" s="297"/>
      <c r="O43" s="298"/>
      <c r="P43" s="299"/>
      <c r="Q43" s="300"/>
      <c r="R43" s="79"/>
      <c r="S43" s="301"/>
      <c r="T43" s="79">
        <f t="shared" si="7"/>
        <v>0</v>
      </c>
      <c r="U43" s="79">
        <f t="shared" ref="U43:U54" si="14">D43*T43</f>
        <v>0</v>
      </c>
      <c r="V43" s="79">
        <f>T43*3.7</f>
        <v>0</v>
      </c>
      <c r="W43" s="80">
        <f t="shared" si="10"/>
        <v>0</v>
      </c>
    </row>
    <row r="44" ht="99.75" customHeight="1">
      <c r="B44" s="63" t="s">
        <v>385</v>
      </c>
      <c r="C44" s="65"/>
      <c r="D44" s="65">
        <v>5.0</v>
      </c>
      <c r="E44" s="65" t="s">
        <v>386</v>
      </c>
      <c r="F44" s="46">
        <v>167.0</v>
      </c>
      <c r="G44" s="290"/>
      <c r="H44" s="291"/>
      <c r="I44" s="292"/>
      <c r="J44" s="293"/>
      <c r="K44" s="294"/>
      <c r="L44" s="295"/>
      <c r="M44" s="296"/>
      <c r="N44" s="297"/>
      <c r="O44" s="298"/>
      <c r="P44" s="299"/>
      <c r="Q44" s="300"/>
      <c r="R44" s="79"/>
      <c r="S44" s="301"/>
      <c r="T44" s="79">
        <f t="shared" si="7"/>
        <v>0</v>
      </c>
      <c r="U44" s="79">
        <f t="shared" si="14"/>
        <v>0</v>
      </c>
      <c r="V44" s="79">
        <f>T44*2.1</f>
        <v>0</v>
      </c>
      <c r="W44" s="80">
        <f t="shared" si="10"/>
        <v>0</v>
      </c>
    </row>
    <row r="45" ht="99.75" customHeight="1">
      <c r="B45" s="63" t="s">
        <v>387</v>
      </c>
      <c r="C45" s="65"/>
      <c r="D45" s="65">
        <v>5.0</v>
      </c>
      <c r="E45" s="65" t="s">
        <v>388</v>
      </c>
      <c r="F45" s="46">
        <v>167.0</v>
      </c>
      <c r="G45" s="290"/>
      <c r="H45" s="291"/>
      <c r="I45" s="292"/>
      <c r="J45" s="293"/>
      <c r="K45" s="294"/>
      <c r="L45" s="295"/>
      <c r="M45" s="296"/>
      <c r="N45" s="297"/>
      <c r="O45" s="298"/>
      <c r="P45" s="299"/>
      <c r="Q45" s="300"/>
      <c r="R45" s="79"/>
      <c r="S45" s="301"/>
      <c r="T45" s="79">
        <f t="shared" si="7"/>
        <v>0</v>
      </c>
      <c r="U45" s="79">
        <f t="shared" si="14"/>
        <v>0</v>
      </c>
      <c r="V45" s="79">
        <f>T45*2.02</f>
        <v>0</v>
      </c>
      <c r="W45" s="80">
        <f t="shared" si="10"/>
        <v>0</v>
      </c>
    </row>
    <row r="46" ht="99.75" customHeight="1">
      <c r="B46" s="116" t="s">
        <v>389</v>
      </c>
      <c r="C46" s="65"/>
      <c r="D46" s="65">
        <v>5.0</v>
      </c>
      <c r="E46" s="65" t="s">
        <v>390</v>
      </c>
      <c r="F46" s="46">
        <v>198.0</v>
      </c>
      <c r="G46" s="290"/>
      <c r="H46" s="291"/>
      <c r="I46" s="292"/>
      <c r="J46" s="293"/>
      <c r="K46" s="294"/>
      <c r="L46" s="295"/>
      <c r="M46" s="296"/>
      <c r="N46" s="297"/>
      <c r="O46" s="298"/>
      <c r="P46" s="299"/>
      <c r="Q46" s="300"/>
      <c r="R46" s="79"/>
      <c r="S46" s="301"/>
      <c r="T46" s="79">
        <f t="shared" si="7"/>
        <v>0</v>
      </c>
      <c r="U46" s="79">
        <f t="shared" si="14"/>
        <v>0</v>
      </c>
      <c r="V46" s="79">
        <f>T46*2.6</f>
        <v>0</v>
      </c>
      <c r="W46" s="80">
        <f t="shared" si="10"/>
        <v>0</v>
      </c>
    </row>
    <row r="47" ht="99.75" customHeight="1">
      <c r="B47" s="116" t="s">
        <v>391</v>
      </c>
      <c r="C47" s="65"/>
      <c r="D47" s="65">
        <v>5.0</v>
      </c>
      <c r="E47" s="65" t="s">
        <v>392</v>
      </c>
      <c r="F47" s="46">
        <v>244.0</v>
      </c>
      <c r="G47" s="290"/>
      <c r="H47" s="291"/>
      <c r="I47" s="292"/>
      <c r="J47" s="293"/>
      <c r="K47" s="294"/>
      <c r="L47" s="295"/>
      <c r="M47" s="296"/>
      <c r="N47" s="297"/>
      <c r="O47" s="298"/>
      <c r="P47" s="299"/>
      <c r="Q47" s="300"/>
      <c r="R47" s="79"/>
      <c r="S47" s="301"/>
      <c r="T47" s="79">
        <f t="shared" si="7"/>
        <v>0</v>
      </c>
      <c r="U47" s="79">
        <f t="shared" si="14"/>
        <v>0</v>
      </c>
      <c r="V47" s="79">
        <f>T47*3.5</f>
        <v>0</v>
      </c>
      <c r="W47" s="80">
        <f t="shared" si="10"/>
        <v>0</v>
      </c>
    </row>
    <row r="48" ht="99.75" customHeight="1">
      <c r="B48" s="116" t="s">
        <v>393</v>
      </c>
      <c r="C48" s="65"/>
      <c r="D48" s="65">
        <v>3.0</v>
      </c>
      <c r="E48" s="65" t="s">
        <v>394</v>
      </c>
      <c r="F48" s="46">
        <v>167.0</v>
      </c>
      <c r="G48" s="290"/>
      <c r="H48" s="291"/>
      <c r="I48" s="292"/>
      <c r="J48" s="293"/>
      <c r="K48" s="294"/>
      <c r="L48" s="295"/>
      <c r="M48" s="296"/>
      <c r="N48" s="297"/>
      <c r="O48" s="298"/>
      <c r="P48" s="299"/>
      <c r="Q48" s="300"/>
      <c r="R48" s="79"/>
      <c r="S48" s="301"/>
      <c r="T48" s="79">
        <f t="shared" si="7"/>
        <v>0</v>
      </c>
      <c r="U48" s="79">
        <f t="shared" si="14"/>
        <v>0</v>
      </c>
      <c r="V48" s="79">
        <f>T48*2.44</f>
        <v>0</v>
      </c>
      <c r="W48" s="80">
        <f t="shared" si="10"/>
        <v>0</v>
      </c>
    </row>
    <row r="49" ht="99.75" customHeight="1">
      <c r="B49" s="116" t="s">
        <v>395</v>
      </c>
      <c r="C49" s="65"/>
      <c r="D49" s="65">
        <v>2.0</v>
      </c>
      <c r="E49" s="65" t="s">
        <v>396</v>
      </c>
      <c r="F49" s="46">
        <v>221.0</v>
      </c>
      <c r="G49" s="290"/>
      <c r="H49" s="291"/>
      <c r="I49" s="292"/>
      <c r="J49" s="293"/>
      <c r="K49" s="294"/>
      <c r="L49" s="295"/>
      <c r="M49" s="296"/>
      <c r="N49" s="297"/>
      <c r="O49" s="298"/>
      <c r="P49" s="299"/>
      <c r="Q49" s="300"/>
      <c r="R49" s="79"/>
      <c r="S49" s="301"/>
      <c r="T49" s="79">
        <f t="shared" si="7"/>
        <v>0</v>
      </c>
      <c r="U49" s="79">
        <f t="shared" si="14"/>
        <v>0</v>
      </c>
      <c r="V49" s="79">
        <f>T49*3.72</f>
        <v>0</v>
      </c>
      <c r="W49" s="80">
        <f t="shared" si="10"/>
        <v>0</v>
      </c>
    </row>
    <row r="50" ht="99.75" customHeight="1">
      <c r="B50" s="63" t="s">
        <v>397</v>
      </c>
      <c r="C50" s="65"/>
      <c r="D50" s="65">
        <v>2.0</v>
      </c>
      <c r="E50" s="65" t="s">
        <v>398</v>
      </c>
      <c r="F50" s="46">
        <v>169.0</v>
      </c>
      <c r="G50" s="290"/>
      <c r="H50" s="291"/>
      <c r="I50" s="292"/>
      <c r="J50" s="293"/>
      <c r="K50" s="294"/>
      <c r="L50" s="295"/>
      <c r="M50" s="296"/>
      <c r="N50" s="297"/>
      <c r="O50" s="298"/>
      <c r="P50" s="299"/>
      <c r="Q50" s="300"/>
      <c r="R50" s="79"/>
      <c r="S50" s="301"/>
      <c r="T50" s="79">
        <f t="shared" si="7"/>
        <v>0</v>
      </c>
      <c r="U50" s="79">
        <f t="shared" si="14"/>
        <v>0</v>
      </c>
      <c r="V50" s="79">
        <f>T50*2.73</f>
        <v>0</v>
      </c>
      <c r="W50" s="80">
        <f t="shared" si="10"/>
        <v>0</v>
      </c>
    </row>
    <row r="51" ht="99.75" customHeight="1">
      <c r="B51" s="63" t="s">
        <v>399</v>
      </c>
      <c r="C51" s="65"/>
      <c r="D51" s="65">
        <v>2.0</v>
      </c>
      <c r="E51" s="65" t="s">
        <v>400</v>
      </c>
      <c r="F51" s="46">
        <v>147.0</v>
      </c>
      <c r="G51" s="290"/>
      <c r="H51" s="291"/>
      <c r="I51" s="292"/>
      <c r="J51" s="293"/>
      <c r="K51" s="294"/>
      <c r="L51" s="295"/>
      <c r="M51" s="296"/>
      <c r="N51" s="297"/>
      <c r="O51" s="298"/>
      <c r="P51" s="299"/>
      <c r="Q51" s="300"/>
      <c r="R51" s="79"/>
      <c r="S51" s="301"/>
      <c r="T51" s="79">
        <f t="shared" si="7"/>
        <v>0</v>
      </c>
      <c r="U51" s="79">
        <f t="shared" si="14"/>
        <v>0</v>
      </c>
      <c r="V51" s="79">
        <f>T51*2.8</f>
        <v>0</v>
      </c>
      <c r="W51" s="80">
        <f t="shared" si="10"/>
        <v>0</v>
      </c>
    </row>
    <row r="52" ht="99.75" customHeight="1">
      <c r="B52" s="63" t="s">
        <v>401</v>
      </c>
      <c r="C52" s="203"/>
      <c r="D52" s="65">
        <v>2.0</v>
      </c>
      <c r="E52" s="65" t="s">
        <v>402</v>
      </c>
      <c r="F52" s="46">
        <v>137.0</v>
      </c>
      <c r="G52" s="290"/>
      <c r="H52" s="291"/>
      <c r="I52" s="292"/>
      <c r="J52" s="293"/>
      <c r="K52" s="294"/>
      <c r="L52" s="295"/>
      <c r="M52" s="296"/>
      <c r="N52" s="297"/>
      <c r="O52" s="298"/>
      <c r="P52" s="299"/>
      <c r="Q52" s="300"/>
      <c r="R52" s="79"/>
      <c r="S52" s="301"/>
      <c r="T52" s="79">
        <f t="shared" si="7"/>
        <v>0</v>
      </c>
      <c r="U52" s="79">
        <f t="shared" si="14"/>
        <v>0</v>
      </c>
      <c r="V52" s="79">
        <f>T52*3.12</f>
        <v>0</v>
      </c>
      <c r="W52" s="80">
        <f t="shared" si="10"/>
        <v>0</v>
      </c>
    </row>
    <row r="53" ht="99.75" customHeight="1">
      <c r="B53" s="63" t="s">
        <v>403</v>
      </c>
      <c r="C53" s="203"/>
      <c r="D53" s="65">
        <v>2.0</v>
      </c>
      <c r="E53" s="65" t="s">
        <v>404</v>
      </c>
      <c r="F53" s="46">
        <v>156.0</v>
      </c>
      <c r="G53" s="290"/>
      <c r="H53" s="291"/>
      <c r="I53" s="292"/>
      <c r="J53" s="293"/>
      <c r="K53" s="294"/>
      <c r="L53" s="295"/>
      <c r="M53" s="296"/>
      <c r="N53" s="297"/>
      <c r="O53" s="298"/>
      <c r="P53" s="299"/>
      <c r="Q53" s="300"/>
      <c r="R53" s="79"/>
      <c r="S53" s="301"/>
      <c r="T53" s="79">
        <f t="shared" si="7"/>
        <v>0</v>
      </c>
      <c r="U53" s="79">
        <f t="shared" si="14"/>
        <v>0</v>
      </c>
      <c r="V53" s="79">
        <f>T53*2.11</f>
        <v>0</v>
      </c>
      <c r="W53" s="80">
        <f t="shared" si="10"/>
        <v>0</v>
      </c>
    </row>
    <row r="54" ht="99.75" customHeight="1">
      <c r="B54" s="246" t="s">
        <v>405</v>
      </c>
      <c r="C54" s="203"/>
      <c r="D54" s="120">
        <v>2.0</v>
      </c>
      <c r="E54" s="120" t="s">
        <v>406</v>
      </c>
      <c r="F54" s="46">
        <v>247.0</v>
      </c>
      <c r="G54" s="303"/>
      <c r="H54" s="304"/>
      <c r="I54" s="305"/>
      <c r="J54" s="306"/>
      <c r="K54" s="307"/>
      <c r="L54" s="308"/>
      <c r="M54" s="309"/>
      <c r="N54" s="310"/>
      <c r="O54" s="311"/>
      <c r="P54" s="312"/>
      <c r="Q54" s="313"/>
      <c r="R54" s="314"/>
      <c r="S54" s="315"/>
      <c r="T54" s="314">
        <f t="shared" si="7"/>
        <v>0</v>
      </c>
      <c r="U54" s="314">
        <f t="shared" si="14"/>
        <v>0</v>
      </c>
      <c r="V54" s="314">
        <f>T54*4.3</f>
        <v>0</v>
      </c>
      <c r="W54" s="316">
        <f t="shared" si="10"/>
        <v>0</v>
      </c>
    </row>
    <row r="55" ht="15.75" customHeight="1">
      <c r="F55" s="1"/>
      <c r="G55" s="336">
        <f t="shared" ref="G55:W55" si="15">SUM(G23:G54)</f>
        <v>0</v>
      </c>
      <c r="H55" s="337">
        <f t="shared" si="15"/>
        <v>0</v>
      </c>
      <c r="I55" s="338">
        <f t="shared" si="15"/>
        <v>0</v>
      </c>
      <c r="J55" s="338">
        <f t="shared" si="15"/>
        <v>0</v>
      </c>
      <c r="K55" s="338">
        <f t="shared" si="15"/>
        <v>0</v>
      </c>
      <c r="L55" s="338">
        <f t="shared" si="15"/>
        <v>0</v>
      </c>
      <c r="M55" s="338">
        <f t="shared" si="15"/>
        <v>0</v>
      </c>
      <c r="N55" s="338">
        <f t="shared" si="15"/>
        <v>0</v>
      </c>
      <c r="O55" s="338">
        <f t="shared" si="15"/>
        <v>0</v>
      </c>
      <c r="P55" s="338">
        <f t="shared" si="15"/>
        <v>0</v>
      </c>
      <c r="Q55" s="338">
        <f t="shared" si="15"/>
        <v>0</v>
      </c>
      <c r="R55" s="338">
        <f t="shared" si="15"/>
        <v>0</v>
      </c>
      <c r="S55" s="338">
        <f t="shared" si="15"/>
        <v>0</v>
      </c>
      <c r="T55" s="338">
        <f t="shared" si="15"/>
        <v>0</v>
      </c>
      <c r="U55" s="338">
        <f t="shared" si="15"/>
        <v>0</v>
      </c>
      <c r="V55" s="338">
        <f t="shared" si="15"/>
        <v>0</v>
      </c>
      <c r="W55" s="339">
        <f t="shared" si="15"/>
        <v>0</v>
      </c>
    </row>
    <row r="56" ht="15.75" customHeight="1">
      <c r="F56" s="1"/>
    </row>
    <row r="57" ht="15.75" customHeight="1">
      <c r="F57" s="1"/>
    </row>
    <row r="58" ht="15.75" customHeight="1">
      <c r="F58" s="1"/>
    </row>
    <row r="59" ht="15.75" customHeight="1">
      <c r="F59" s="1"/>
    </row>
    <row r="60" ht="15.75" customHeight="1">
      <c r="F60" s="1"/>
    </row>
    <row r="61" ht="15.75" customHeight="1">
      <c r="F61" s="1"/>
    </row>
    <row r="62" ht="15.75" customHeight="1">
      <c r="F62" s="1"/>
    </row>
    <row r="63" ht="15.75" customHeight="1">
      <c r="F63" s="1"/>
    </row>
    <row r="64" ht="15.75" customHeight="1">
      <c r="F64" s="1"/>
    </row>
    <row r="65" ht="15.75" customHeight="1">
      <c r="F65" s="1"/>
    </row>
    <row r="66" ht="15.75" customHeight="1">
      <c r="F66" s="1"/>
    </row>
    <row r="67" ht="15.75" customHeight="1">
      <c r="F67" s="1"/>
    </row>
    <row r="68" ht="15.75" customHeight="1">
      <c r="F68" s="1"/>
    </row>
    <row r="69" ht="15.75" customHeight="1">
      <c r="F69" s="1"/>
    </row>
    <row r="70" ht="15.75" customHeight="1">
      <c r="F70" s="1"/>
    </row>
    <row r="71" ht="15.75" customHeight="1">
      <c r="F71" s="1"/>
    </row>
    <row r="72" ht="15.75" customHeight="1">
      <c r="F72" s="1"/>
    </row>
    <row r="73" ht="15.75" customHeight="1">
      <c r="F73" s="1"/>
    </row>
    <row r="74" ht="15.75" customHeight="1">
      <c r="F74" s="1"/>
    </row>
    <row r="75" ht="15.75" customHeight="1">
      <c r="F75" s="1"/>
    </row>
    <row r="76" ht="15.75" customHeight="1">
      <c r="F76" s="1"/>
    </row>
    <row r="77" ht="15.75" customHeight="1">
      <c r="F77" s="1"/>
    </row>
    <row r="78" ht="15.75" customHeight="1">
      <c r="F78" s="1"/>
    </row>
    <row r="79" ht="15.75" customHeight="1">
      <c r="F79" s="1"/>
    </row>
    <row r="80" ht="15.75" customHeight="1">
      <c r="F80" s="1"/>
    </row>
    <row r="81" ht="15.75" customHeight="1">
      <c r="F81" s="1"/>
    </row>
    <row r="82" ht="15.75" customHeight="1">
      <c r="F82" s="1"/>
    </row>
    <row r="83" ht="15.75" customHeight="1">
      <c r="F83" s="1"/>
    </row>
    <row r="84" ht="15.75" customHeight="1">
      <c r="F84" s="1"/>
    </row>
    <row r="85" ht="15.75" customHeight="1">
      <c r="F85" s="1"/>
    </row>
    <row r="86" ht="15.75" customHeight="1">
      <c r="F86" s="1"/>
    </row>
    <row r="87" ht="15.75" customHeight="1">
      <c r="F87" s="1"/>
    </row>
    <row r="88" ht="15.75" customHeight="1">
      <c r="F88" s="1"/>
    </row>
    <row r="89" ht="15.75" customHeight="1">
      <c r="F89" s="1"/>
    </row>
    <row r="90" ht="15.75" customHeight="1">
      <c r="F90" s="1"/>
    </row>
    <row r="91" ht="15.75" customHeight="1">
      <c r="F91" s="1"/>
    </row>
    <row r="92" ht="15.75" customHeight="1">
      <c r="F92" s="1"/>
    </row>
    <row r="93" ht="15.75" customHeight="1">
      <c r="F93" s="1"/>
    </row>
    <row r="94" ht="15.75" customHeight="1">
      <c r="F94" s="1"/>
    </row>
    <row r="95" ht="15.75" customHeight="1">
      <c r="F95" s="1"/>
    </row>
    <row r="96" ht="15.75" customHeight="1">
      <c r="F96" s="1"/>
    </row>
    <row r="97" ht="15.75" customHeight="1">
      <c r="F97" s="1"/>
    </row>
    <row r="98" ht="15.75" customHeight="1">
      <c r="F98" s="1"/>
    </row>
    <row r="99" ht="15.75" customHeight="1">
      <c r="F99" s="1"/>
    </row>
    <row r="100" ht="15.75" customHeight="1">
      <c r="F100" s="1"/>
    </row>
    <row r="101" ht="15.75" customHeight="1">
      <c r="F101" s="1"/>
    </row>
    <row r="102" ht="15.75" customHeight="1">
      <c r="F102" s="1"/>
    </row>
    <row r="103" ht="15.75" customHeight="1">
      <c r="F103" s="1"/>
    </row>
    <row r="104" ht="15.75" customHeight="1">
      <c r="F104" s="1"/>
    </row>
    <row r="105" ht="15.75" customHeight="1">
      <c r="F105" s="1"/>
    </row>
    <row r="106" ht="15.75" customHeight="1">
      <c r="F106" s="1"/>
    </row>
    <row r="107" ht="15.75" customHeight="1">
      <c r="F107" s="1"/>
    </row>
    <row r="108" ht="15.75" customHeight="1">
      <c r="F108" s="1"/>
    </row>
    <row r="109" ht="15.75" customHeight="1">
      <c r="F109" s="1"/>
    </row>
    <row r="110" ht="15.75" customHeight="1">
      <c r="F110" s="1"/>
    </row>
    <row r="111" ht="15.75" customHeight="1">
      <c r="F111" s="1"/>
    </row>
    <row r="112" ht="15.75" customHeight="1">
      <c r="F112" s="1"/>
    </row>
    <row r="113" ht="15.75" customHeight="1">
      <c r="F113" s="1"/>
    </row>
    <row r="114" ht="15.75" customHeight="1">
      <c r="F114" s="1"/>
    </row>
    <row r="115" ht="15.75" customHeight="1">
      <c r="F115" s="1"/>
    </row>
    <row r="116" ht="15.75" customHeight="1">
      <c r="F116" s="1"/>
    </row>
    <row r="117" ht="15.75" customHeight="1">
      <c r="F117" s="1"/>
    </row>
    <row r="118" ht="15.75" customHeight="1">
      <c r="F118" s="1"/>
    </row>
    <row r="119" ht="15.75" customHeight="1">
      <c r="F119" s="1"/>
    </row>
    <row r="120" ht="15.75" customHeight="1">
      <c r="F120" s="1"/>
    </row>
    <row r="121" ht="15.75" customHeight="1">
      <c r="F121" s="1"/>
    </row>
    <row r="122" ht="15.75" customHeight="1">
      <c r="F122" s="1"/>
    </row>
    <row r="123" ht="15.75" customHeight="1">
      <c r="F123" s="1"/>
    </row>
    <row r="124" ht="15.75" customHeight="1">
      <c r="F124" s="1"/>
    </row>
    <row r="125" ht="15.75" customHeight="1">
      <c r="F125" s="1"/>
    </row>
    <row r="126" ht="15.75" customHeight="1">
      <c r="F126" s="1"/>
    </row>
    <row r="127" ht="15.75" customHeight="1">
      <c r="F127" s="1"/>
    </row>
    <row r="128" ht="15.75" customHeight="1">
      <c r="F128" s="1"/>
    </row>
    <row r="129" ht="15.75" customHeight="1">
      <c r="F129" s="1"/>
    </row>
    <row r="130" ht="15.75" customHeight="1">
      <c r="F130" s="1"/>
    </row>
    <row r="131" ht="15.75" customHeight="1">
      <c r="F131" s="1"/>
    </row>
    <row r="132" ht="15.75" customHeight="1">
      <c r="F132" s="1"/>
    </row>
    <row r="133" ht="15.75" customHeight="1">
      <c r="F133" s="1"/>
    </row>
    <row r="134" ht="15.75" customHeight="1">
      <c r="F134" s="1"/>
    </row>
    <row r="135" ht="15.75" customHeight="1">
      <c r="F135" s="1"/>
    </row>
    <row r="136" ht="15.75" customHeight="1">
      <c r="F136" s="1"/>
    </row>
    <row r="137" ht="15.75" customHeight="1">
      <c r="F137" s="1"/>
    </row>
    <row r="138" ht="15.75" customHeight="1">
      <c r="F138" s="1"/>
    </row>
    <row r="139" ht="15.75" customHeight="1">
      <c r="F139" s="1"/>
    </row>
    <row r="140" ht="15.75" customHeight="1">
      <c r="F140" s="1"/>
    </row>
    <row r="141" ht="15.75" customHeight="1">
      <c r="F141" s="1"/>
    </row>
    <row r="142" ht="15.75" customHeight="1">
      <c r="F142" s="1"/>
    </row>
    <row r="143" ht="15.75" customHeight="1">
      <c r="F143" s="1"/>
    </row>
    <row r="144" ht="15.75" customHeight="1">
      <c r="F144" s="1"/>
    </row>
    <row r="145" ht="15.75" customHeight="1">
      <c r="F145" s="1"/>
    </row>
    <row r="146" ht="15.75" customHeight="1">
      <c r="F146" s="1"/>
    </row>
    <row r="147" ht="15.75" customHeight="1">
      <c r="F147" s="1"/>
    </row>
    <row r="148" ht="15.75" customHeight="1">
      <c r="F148" s="1"/>
    </row>
    <row r="149" ht="15.75" customHeight="1">
      <c r="F149" s="1"/>
    </row>
    <row r="150" ht="15.75" customHeight="1">
      <c r="F150" s="1"/>
    </row>
    <row r="151" ht="15.75" customHeight="1">
      <c r="F151" s="1"/>
    </row>
    <row r="152" ht="15.75" customHeight="1">
      <c r="F152" s="1"/>
    </row>
    <row r="153" ht="15.75" customHeight="1">
      <c r="F153" s="1"/>
    </row>
    <row r="154" ht="15.75" customHeight="1">
      <c r="F154" s="1"/>
    </row>
    <row r="155" ht="15.75" customHeight="1">
      <c r="F155" s="1"/>
    </row>
    <row r="156" ht="15.75" customHeight="1">
      <c r="F156" s="1"/>
    </row>
    <row r="157" ht="15.75" customHeight="1">
      <c r="F157" s="1"/>
    </row>
    <row r="158" ht="15.75" customHeight="1">
      <c r="F158" s="1"/>
    </row>
    <row r="159" ht="15.75" customHeight="1">
      <c r="F159" s="1"/>
    </row>
    <row r="160" ht="15.75" customHeight="1">
      <c r="F160" s="1"/>
    </row>
    <row r="161" ht="15.75" customHeight="1">
      <c r="F161" s="1"/>
    </row>
    <row r="162" ht="15.75" customHeight="1">
      <c r="F162" s="1"/>
    </row>
    <row r="163" ht="15.75" customHeight="1">
      <c r="F163" s="1"/>
    </row>
    <row r="164" ht="15.75" customHeight="1">
      <c r="F164" s="1"/>
    </row>
    <row r="165" ht="15.75" customHeight="1">
      <c r="F165" s="1"/>
    </row>
    <row r="166" ht="15.75" customHeight="1">
      <c r="F166" s="1"/>
    </row>
    <row r="167" ht="15.75" customHeight="1">
      <c r="F167" s="1"/>
    </row>
    <row r="168" ht="15.75" customHeight="1">
      <c r="F168" s="1"/>
    </row>
    <row r="169" ht="15.75" customHeight="1">
      <c r="F169" s="1"/>
    </row>
    <row r="170" ht="15.75" customHeight="1">
      <c r="F170" s="1"/>
    </row>
    <row r="171" ht="15.75" customHeight="1">
      <c r="F171" s="1"/>
    </row>
    <row r="172" ht="15.75" customHeight="1">
      <c r="F172" s="1"/>
    </row>
    <row r="173" ht="15.75" customHeight="1">
      <c r="F173" s="1"/>
    </row>
    <row r="174" ht="15.75" customHeight="1">
      <c r="F174" s="1"/>
    </row>
    <row r="175" ht="15.75" customHeight="1">
      <c r="F175" s="1"/>
    </row>
    <row r="176" ht="15.75" customHeight="1">
      <c r="F176" s="1"/>
    </row>
    <row r="177" ht="15.75" customHeight="1">
      <c r="F177" s="1"/>
    </row>
    <row r="178" ht="15.75" customHeight="1">
      <c r="F178" s="1"/>
    </row>
    <row r="179" ht="15.75" customHeight="1">
      <c r="F179" s="1"/>
    </row>
    <row r="180" ht="15.75" customHeight="1">
      <c r="F180" s="1"/>
    </row>
    <row r="181" ht="15.75" customHeight="1">
      <c r="F181" s="1"/>
    </row>
    <row r="182" ht="15.75" customHeight="1">
      <c r="F182" s="1"/>
    </row>
    <row r="183" ht="15.75" customHeight="1">
      <c r="F183" s="1"/>
    </row>
    <row r="184" ht="15.75" customHeight="1">
      <c r="F184" s="1"/>
    </row>
    <row r="185" ht="15.75" customHeight="1">
      <c r="F185" s="1"/>
    </row>
    <row r="186" ht="15.75" customHeight="1">
      <c r="F186" s="1"/>
    </row>
    <row r="187" ht="15.75" customHeight="1">
      <c r="F187" s="1"/>
    </row>
    <row r="188" ht="15.75" customHeight="1">
      <c r="F188" s="1"/>
    </row>
    <row r="189" ht="15.75" customHeight="1">
      <c r="F189" s="1"/>
    </row>
    <row r="190" ht="15.75" customHeight="1">
      <c r="F190" s="1"/>
    </row>
    <row r="191" ht="15.75" customHeight="1">
      <c r="F191" s="1"/>
    </row>
    <row r="192" ht="15.75" customHeight="1">
      <c r="F192" s="1"/>
    </row>
    <row r="193" ht="15.75" customHeight="1">
      <c r="F193" s="1"/>
    </row>
    <row r="194" ht="15.75" customHeight="1">
      <c r="F194" s="1"/>
    </row>
    <row r="195" ht="15.75" customHeight="1">
      <c r="F195" s="1"/>
    </row>
    <row r="196" ht="15.75" customHeight="1">
      <c r="F196" s="1"/>
    </row>
    <row r="197" ht="15.75" customHeight="1">
      <c r="F197" s="1"/>
    </row>
    <row r="198" ht="15.75" customHeight="1">
      <c r="F198" s="1"/>
    </row>
    <row r="199" ht="15.75" customHeight="1">
      <c r="F199" s="1"/>
    </row>
    <row r="200" ht="15.75" customHeight="1">
      <c r="F200" s="1"/>
    </row>
    <row r="201" ht="15.75" customHeight="1">
      <c r="F201" s="1"/>
    </row>
    <row r="202" ht="15.75" customHeight="1">
      <c r="F202" s="1"/>
    </row>
    <row r="203" ht="15.75" customHeight="1">
      <c r="F203" s="1"/>
    </row>
    <row r="204" ht="15.75" customHeight="1">
      <c r="F204" s="1"/>
    </row>
    <row r="205" ht="15.75" customHeight="1">
      <c r="F205" s="1"/>
    </row>
    <row r="206" ht="15.75" customHeight="1">
      <c r="F206" s="1"/>
    </row>
    <row r="207" ht="15.75" customHeight="1">
      <c r="F207" s="1"/>
    </row>
    <row r="208" ht="15.75" customHeight="1">
      <c r="F208" s="1"/>
    </row>
    <row r="209" ht="15.75" customHeight="1">
      <c r="F209" s="1"/>
    </row>
    <row r="210" ht="15.75" customHeight="1">
      <c r="F210" s="1"/>
    </row>
    <row r="211" ht="15.75" customHeight="1">
      <c r="F211" s="1"/>
    </row>
    <row r="212" ht="15.75" customHeight="1">
      <c r="F212" s="1"/>
    </row>
    <row r="213" ht="15.75" customHeight="1">
      <c r="F213" s="1"/>
    </row>
    <row r="214" ht="15.75" customHeight="1">
      <c r="F214" s="1"/>
    </row>
    <row r="215" ht="15.75" customHeight="1">
      <c r="F215" s="1"/>
    </row>
    <row r="216" ht="15.75" customHeight="1">
      <c r="F216" s="1"/>
    </row>
    <row r="217" ht="15.75" customHeight="1">
      <c r="F217" s="1"/>
    </row>
    <row r="218" ht="15.75" customHeight="1">
      <c r="F218" s="1"/>
    </row>
    <row r="219" ht="15.75" customHeight="1">
      <c r="F219" s="1"/>
    </row>
    <row r="220" ht="15.75" customHeight="1">
      <c r="F220" s="1"/>
    </row>
    <row r="221" ht="15.75" customHeight="1">
      <c r="F221" s="1"/>
    </row>
    <row r="222" ht="15.75" customHeight="1">
      <c r="F222" s="1"/>
    </row>
    <row r="223" ht="15.75" customHeight="1">
      <c r="F223" s="1"/>
    </row>
    <row r="224" ht="15.75" customHeight="1">
      <c r="F224" s="1"/>
    </row>
    <row r="225" ht="15.75" customHeight="1">
      <c r="F225" s="1"/>
    </row>
    <row r="226" ht="15.75" customHeight="1">
      <c r="F226" s="1"/>
    </row>
    <row r="227" ht="15.75" customHeight="1">
      <c r="F227" s="1"/>
    </row>
    <row r="228" ht="15.75" customHeight="1">
      <c r="F228" s="1"/>
    </row>
    <row r="229" ht="15.75" customHeight="1">
      <c r="F229" s="1"/>
    </row>
    <row r="230" ht="15.75" customHeight="1">
      <c r="F230" s="1"/>
    </row>
    <row r="231" ht="15.75" customHeight="1">
      <c r="F231" s="1"/>
    </row>
    <row r="232" ht="15.75" customHeight="1">
      <c r="F232" s="1"/>
    </row>
    <row r="233" ht="15.75" customHeight="1">
      <c r="F233" s="1"/>
    </row>
    <row r="234" ht="15.75" customHeight="1">
      <c r="F234" s="1"/>
    </row>
    <row r="235" ht="15.75" customHeight="1">
      <c r="F235" s="1"/>
    </row>
    <row r="236" ht="15.75" customHeight="1">
      <c r="F236" s="1"/>
    </row>
    <row r="237" ht="15.75" customHeight="1">
      <c r="F237" s="1"/>
    </row>
    <row r="238" ht="15.75" customHeight="1">
      <c r="F238" s="1"/>
    </row>
    <row r="239" ht="15.75" customHeight="1">
      <c r="F239" s="1"/>
    </row>
    <row r="240" ht="15.75" customHeight="1">
      <c r="F240" s="1"/>
    </row>
    <row r="241" ht="15.75" customHeight="1">
      <c r="F241" s="1"/>
    </row>
    <row r="242" ht="15.75" customHeight="1">
      <c r="F242" s="1"/>
    </row>
    <row r="243" ht="15.75" customHeight="1">
      <c r="F243" s="1"/>
    </row>
    <row r="244" ht="15.75" customHeight="1">
      <c r="F244" s="1"/>
    </row>
    <row r="245" ht="15.75" customHeight="1">
      <c r="F245" s="1"/>
    </row>
    <row r="246" ht="15.75" customHeight="1">
      <c r="F246" s="1"/>
    </row>
    <row r="247" ht="15.75" customHeight="1">
      <c r="F247" s="1"/>
    </row>
    <row r="248" ht="15.75" customHeight="1">
      <c r="F248" s="1"/>
    </row>
    <row r="249" ht="15.75" customHeight="1">
      <c r="F249" s="1"/>
    </row>
    <row r="250" ht="15.75" customHeight="1">
      <c r="F250" s="1"/>
    </row>
    <row r="251" ht="15.75" customHeight="1">
      <c r="F251" s="1"/>
    </row>
    <row r="252" ht="15.75" customHeight="1">
      <c r="F252" s="1"/>
    </row>
    <row r="253" ht="15.75" customHeight="1">
      <c r="F253" s="1"/>
    </row>
    <row r="254" ht="15.75" customHeight="1">
      <c r="F254" s="1"/>
    </row>
    <row r="255" ht="15.75" customHeight="1">
      <c r="F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3">
    <mergeCell ref="B2:F3"/>
    <mergeCell ref="D6:E6"/>
    <mergeCell ref="D21:E21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6FFFF"/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9.14"/>
    <col customWidth="1" min="3" max="3" width="19.57"/>
    <col customWidth="1" min="4" max="4" width="9.14"/>
    <col customWidth="1" min="5" max="5" width="12.14"/>
    <col customWidth="1" min="6" max="6" width="9.14"/>
    <col customWidth="1" min="7" max="7" width="11.71"/>
    <col customWidth="1" min="8" max="20" width="9.14"/>
    <col customWidth="1" min="21" max="21" width="15.86"/>
    <col customWidth="1" min="22" max="22" width="6.29"/>
    <col customWidth="1" min="23" max="23" width="7.43"/>
    <col customWidth="1" min="24" max="24" width="6.14"/>
    <col customWidth="1" min="25" max="25" width="6.29"/>
    <col customWidth="1" min="26" max="26" width="5.29"/>
  </cols>
  <sheetData>
    <row r="1">
      <c r="G1" s="1"/>
    </row>
    <row r="2" ht="49.5" customHeight="1">
      <c r="B2" s="340" t="s">
        <v>407</v>
      </c>
    </row>
    <row r="3">
      <c r="B3" s="341"/>
      <c r="G3" s="1"/>
    </row>
    <row r="4">
      <c r="B4" s="20" t="s">
        <v>14</v>
      </c>
      <c r="C4" s="21" t="s">
        <v>15</v>
      </c>
      <c r="D4" s="22" t="s">
        <v>16</v>
      </c>
      <c r="E4" s="22" t="s">
        <v>408</v>
      </c>
      <c r="F4" s="22" t="s">
        <v>17</v>
      </c>
      <c r="G4" s="23" t="s">
        <v>18</v>
      </c>
      <c r="H4" s="342">
        <v>1018.0</v>
      </c>
      <c r="I4" s="343">
        <v>3020.0</v>
      </c>
      <c r="J4" s="344">
        <v>5015.0</v>
      </c>
      <c r="K4" s="345">
        <v>9005.0</v>
      </c>
      <c r="L4" s="346">
        <v>2005.0</v>
      </c>
      <c r="M4" s="347">
        <v>6038.0</v>
      </c>
      <c r="N4" s="348">
        <v>3017.0</v>
      </c>
      <c r="O4" s="349">
        <v>4008.0</v>
      </c>
      <c r="P4" s="350">
        <v>4005.0</v>
      </c>
      <c r="Q4" s="351">
        <v>6001.0</v>
      </c>
      <c r="R4" s="352">
        <v>9003.0</v>
      </c>
      <c r="S4" s="37" t="s">
        <v>409</v>
      </c>
      <c r="T4" s="38" t="s">
        <v>21</v>
      </c>
      <c r="U4" s="39" t="s">
        <v>22</v>
      </c>
    </row>
    <row r="5">
      <c r="B5" s="40"/>
      <c r="G5" s="1"/>
    </row>
    <row r="6" ht="45.75" customHeight="1">
      <c r="A6" s="353"/>
      <c r="B6" s="354" t="s">
        <v>410</v>
      </c>
      <c r="C6" s="355"/>
      <c r="D6" s="356">
        <v>8.0</v>
      </c>
      <c r="E6" s="357" t="s">
        <v>411</v>
      </c>
      <c r="F6" s="358"/>
      <c r="G6" s="359">
        <v>1115.0</v>
      </c>
      <c r="H6" s="360"/>
      <c r="I6" s="361"/>
      <c r="J6" s="362"/>
      <c r="K6" s="363"/>
      <c r="L6" s="364"/>
      <c r="M6" s="365"/>
      <c r="N6" s="366"/>
      <c r="O6" s="367"/>
      <c r="P6" s="368"/>
      <c r="Q6" s="369"/>
      <c r="R6" s="370"/>
      <c r="S6" s="371">
        <f>SUM(H6:R6)*D6</f>
        <v>0</v>
      </c>
      <c r="T6" s="370"/>
      <c r="U6" s="372">
        <f>SUM(H6:R6)*G6</f>
        <v>0</v>
      </c>
      <c r="V6" s="353"/>
      <c r="W6" s="353"/>
      <c r="X6" s="353"/>
      <c r="Y6" s="353"/>
      <c r="Z6" s="353"/>
    </row>
    <row r="7" ht="99.75" customHeight="1">
      <c r="A7" s="353" t="s">
        <v>412</v>
      </c>
      <c r="B7" s="373" t="s">
        <v>413</v>
      </c>
      <c r="C7" s="374"/>
      <c r="D7" s="375">
        <v>4.0</v>
      </c>
      <c r="E7" s="376" t="s">
        <v>414</v>
      </c>
      <c r="F7" s="377" t="s">
        <v>415</v>
      </c>
      <c r="G7" s="378">
        <v>636.0</v>
      </c>
      <c r="H7" s="379"/>
      <c r="I7" s="380"/>
      <c r="J7" s="381"/>
      <c r="K7" s="382"/>
      <c r="L7" s="383"/>
      <c r="M7" s="384"/>
      <c r="N7" s="385"/>
      <c r="O7" s="386"/>
      <c r="P7" s="387"/>
      <c r="Q7" s="388"/>
      <c r="R7" s="375"/>
      <c r="S7" s="375">
        <f t="shared" ref="S7:S8" si="1">SUM(H7:R7)</f>
        <v>0</v>
      </c>
      <c r="T7" s="375"/>
      <c r="U7" s="389">
        <f t="shared" ref="U7:U8" si="2">S7*G7</f>
        <v>0</v>
      </c>
    </row>
    <row r="8" ht="99.75" customHeight="1">
      <c r="A8" s="353" t="s">
        <v>412</v>
      </c>
      <c r="B8" s="390" t="s">
        <v>416</v>
      </c>
      <c r="C8" s="391"/>
      <c r="D8" s="392">
        <v>4.0</v>
      </c>
      <c r="E8" s="393" t="s">
        <v>417</v>
      </c>
      <c r="F8" s="394" t="s">
        <v>418</v>
      </c>
      <c r="G8" s="395">
        <v>603.0</v>
      </c>
      <c r="H8" s="396"/>
      <c r="I8" s="397"/>
      <c r="J8" s="398"/>
      <c r="K8" s="399"/>
      <c r="L8" s="400"/>
      <c r="M8" s="401"/>
      <c r="N8" s="402"/>
      <c r="O8" s="403"/>
      <c r="P8" s="404"/>
      <c r="Q8" s="405"/>
      <c r="R8" s="392"/>
      <c r="S8" s="392">
        <f t="shared" si="1"/>
        <v>0</v>
      </c>
      <c r="T8" s="392"/>
      <c r="U8" s="406">
        <f t="shared" si="2"/>
        <v>0</v>
      </c>
    </row>
    <row r="9" ht="29.25" customHeight="1">
      <c r="A9" s="353"/>
      <c r="G9" s="1"/>
    </row>
    <row r="10" ht="52.5" customHeight="1">
      <c r="A10" s="353"/>
      <c r="B10" s="407" t="s">
        <v>419</v>
      </c>
      <c r="C10" s="355"/>
      <c r="D10" s="408">
        <f>SUM(D11:D23)</f>
        <v>13</v>
      </c>
      <c r="E10" s="409" t="s">
        <v>411</v>
      </c>
      <c r="F10" s="358"/>
      <c r="G10" s="359">
        <v>2735.0</v>
      </c>
      <c r="H10" s="410"/>
      <c r="I10" s="411"/>
      <c r="J10" s="412"/>
      <c r="K10" s="413"/>
      <c r="L10" s="414"/>
      <c r="M10" s="415"/>
      <c r="N10" s="416"/>
      <c r="O10" s="417"/>
      <c r="P10" s="418"/>
      <c r="Q10" s="419"/>
      <c r="R10" s="371"/>
      <c r="S10" s="371">
        <f>SUM(H10:R10)*D10</f>
        <v>0</v>
      </c>
      <c r="T10" s="371"/>
      <c r="U10" s="372">
        <f>SUM(H10:R10)*G10</f>
        <v>0</v>
      </c>
      <c r="V10" s="353"/>
      <c r="W10" s="353"/>
      <c r="X10" s="353"/>
      <c r="Y10" s="353"/>
      <c r="Z10" s="353"/>
    </row>
    <row r="11" ht="99.75" customHeight="1">
      <c r="A11" s="353"/>
      <c r="B11" s="420" t="s">
        <v>420</v>
      </c>
      <c r="C11" s="374"/>
      <c r="D11" s="375">
        <v>1.0</v>
      </c>
      <c r="E11" s="375" t="s">
        <v>421</v>
      </c>
      <c r="F11" s="421" t="s">
        <v>422</v>
      </c>
      <c r="G11" s="378">
        <v>170.0</v>
      </c>
      <c r="H11" s="379"/>
      <c r="I11" s="380"/>
      <c r="J11" s="381"/>
      <c r="K11" s="382"/>
      <c r="L11" s="383"/>
      <c r="M11" s="384"/>
      <c r="N11" s="385"/>
      <c r="O11" s="386"/>
      <c r="P11" s="387"/>
      <c r="Q11" s="388"/>
      <c r="R11" s="375"/>
      <c r="S11" s="375">
        <f t="shared" ref="S11:S23" si="3">SUM(H11:R11)</f>
        <v>0</v>
      </c>
      <c r="T11" s="375"/>
      <c r="U11" s="389">
        <f t="shared" ref="U11:U23" si="4">S11*G11</f>
        <v>0</v>
      </c>
    </row>
    <row r="12" ht="99.75" customHeight="1">
      <c r="A12" s="353"/>
      <c r="B12" s="420" t="s">
        <v>423</v>
      </c>
      <c r="C12" s="222"/>
      <c r="D12" s="392">
        <v>1.0</v>
      </c>
      <c r="E12" s="392" t="s">
        <v>424</v>
      </c>
      <c r="F12" s="83" t="s">
        <v>425</v>
      </c>
      <c r="G12" s="395">
        <v>174.0</v>
      </c>
      <c r="H12" s="396"/>
      <c r="I12" s="397"/>
      <c r="J12" s="398"/>
      <c r="K12" s="399"/>
      <c r="L12" s="400"/>
      <c r="M12" s="401"/>
      <c r="N12" s="402"/>
      <c r="O12" s="403"/>
      <c r="P12" s="404"/>
      <c r="Q12" s="405"/>
      <c r="R12" s="392"/>
      <c r="S12" s="392">
        <f t="shared" si="3"/>
        <v>0</v>
      </c>
      <c r="T12" s="392"/>
      <c r="U12" s="406">
        <f t="shared" si="4"/>
        <v>0</v>
      </c>
    </row>
    <row r="13" ht="99.75" customHeight="1">
      <c r="A13" s="353"/>
      <c r="B13" s="420" t="s">
        <v>426</v>
      </c>
      <c r="C13" s="222"/>
      <c r="D13" s="392">
        <v>1.0</v>
      </c>
      <c r="E13" s="392" t="s">
        <v>427</v>
      </c>
      <c r="F13" s="83" t="s">
        <v>428</v>
      </c>
      <c r="G13" s="395">
        <v>287.0</v>
      </c>
      <c r="H13" s="396"/>
      <c r="I13" s="397"/>
      <c r="J13" s="398"/>
      <c r="K13" s="399"/>
      <c r="L13" s="400"/>
      <c r="M13" s="401"/>
      <c r="N13" s="402"/>
      <c r="O13" s="403"/>
      <c r="P13" s="404"/>
      <c r="Q13" s="405"/>
      <c r="R13" s="392"/>
      <c r="S13" s="392">
        <f t="shared" si="3"/>
        <v>0</v>
      </c>
      <c r="T13" s="392"/>
      <c r="U13" s="406">
        <f t="shared" si="4"/>
        <v>0</v>
      </c>
    </row>
    <row r="14" ht="99.75" customHeight="1">
      <c r="A14" s="353"/>
      <c r="B14" s="420" t="s">
        <v>429</v>
      </c>
      <c r="C14" s="222"/>
      <c r="D14" s="392">
        <v>1.0</v>
      </c>
      <c r="E14" s="392" t="s">
        <v>430</v>
      </c>
      <c r="F14" s="83" t="s">
        <v>431</v>
      </c>
      <c r="G14" s="395">
        <v>236.0</v>
      </c>
      <c r="H14" s="396"/>
      <c r="I14" s="397"/>
      <c r="J14" s="398"/>
      <c r="K14" s="399"/>
      <c r="L14" s="400"/>
      <c r="M14" s="401"/>
      <c r="N14" s="402"/>
      <c r="O14" s="403"/>
      <c r="P14" s="404"/>
      <c r="Q14" s="405"/>
      <c r="R14" s="392"/>
      <c r="S14" s="392">
        <f t="shared" si="3"/>
        <v>0</v>
      </c>
      <c r="T14" s="392"/>
      <c r="U14" s="406">
        <f t="shared" si="4"/>
        <v>0</v>
      </c>
    </row>
    <row r="15" ht="99.75" customHeight="1">
      <c r="A15" s="353"/>
      <c r="B15" s="420" t="s">
        <v>432</v>
      </c>
      <c r="C15" s="222"/>
      <c r="D15" s="392">
        <v>1.0</v>
      </c>
      <c r="E15" s="392" t="s">
        <v>433</v>
      </c>
      <c r="F15" s="83" t="s">
        <v>434</v>
      </c>
      <c r="G15" s="395">
        <v>286.0</v>
      </c>
      <c r="H15" s="396"/>
      <c r="I15" s="397"/>
      <c r="J15" s="398"/>
      <c r="K15" s="399"/>
      <c r="L15" s="400"/>
      <c r="M15" s="401"/>
      <c r="N15" s="402"/>
      <c r="O15" s="403"/>
      <c r="P15" s="404"/>
      <c r="Q15" s="405"/>
      <c r="R15" s="392"/>
      <c r="S15" s="392">
        <f t="shared" si="3"/>
        <v>0</v>
      </c>
      <c r="T15" s="392"/>
      <c r="U15" s="406">
        <f t="shared" si="4"/>
        <v>0</v>
      </c>
    </row>
    <row r="16" ht="99.75" customHeight="1">
      <c r="A16" s="353"/>
      <c r="B16" s="420" t="s">
        <v>435</v>
      </c>
      <c r="C16" s="391"/>
      <c r="D16" s="392">
        <v>1.0</v>
      </c>
      <c r="E16" s="392" t="s">
        <v>436</v>
      </c>
      <c r="F16" s="83" t="s">
        <v>437</v>
      </c>
      <c r="G16" s="395">
        <v>276.0</v>
      </c>
      <c r="H16" s="396"/>
      <c r="I16" s="397"/>
      <c r="J16" s="398"/>
      <c r="K16" s="399"/>
      <c r="L16" s="400"/>
      <c r="M16" s="401"/>
      <c r="N16" s="402"/>
      <c r="O16" s="403"/>
      <c r="P16" s="404"/>
      <c r="Q16" s="405"/>
      <c r="R16" s="392"/>
      <c r="S16" s="392">
        <f t="shared" si="3"/>
        <v>0</v>
      </c>
      <c r="T16" s="392"/>
      <c r="U16" s="406">
        <f t="shared" si="4"/>
        <v>0</v>
      </c>
    </row>
    <row r="17" ht="99.75" customHeight="1">
      <c r="A17" s="353"/>
      <c r="B17" s="420" t="s">
        <v>438</v>
      </c>
      <c r="C17" s="391"/>
      <c r="D17" s="392">
        <v>1.0</v>
      </c>
      <c r="E17" s="392" t="s">
        <v>439</v>
      </c>
      <c r="F17" s="83" t="s">
        <v>440</v>
      </c>
      <c r="G17" s="395">
        <v>249.39</v>
      </c>
      <c r="H17" s="396"/>
      <c r="I17" s="397"/>
      <c r="J17" s="398"/>
      <c r="K17" s="399"/>
      <c r="L17" s="400"/>
      <c r="M17" s="401"/>
      <c r="N17" s="402"/>
      <c r="O17" s="403"/>
      <c r="P17" s="404"/>
      <c r="Q17" s="405"/>
      <c r="R17" s="392"/>
      <c r="S17" s="392">
        <f t="shared" si="3"/>
        <v>0</v>
      </c>
      <c r="T17" s="392"/>
      <c r="U17" s="406">
        <f t="shared" si="4"/>
        <v>0</v>
      </c>
    </row>
    <row r="18" ht="99.75" customHeight="1">
      <c r="A18" s="353"/>
      <c r="B18" s="420" t="s">
        <v>441</v>
      </c>
      <c r="C18" s="222"/>
      <c r="D18" s="392">
        <v>1.0</v>
      </c>
      <c r="E18" s="392" t="s">
        <v>442</v>
      </c>
      <c r="F18" s="83" t="s">
        <v>443</v>
      </c>
      <c r="G18" s="395">
        <v>179.0</v>
      </c>
      <c r="H18" s="396"/>
      <c r="I18" s="397"/>
      <c r="J18" s="398"/>
      <c r="K18" s="399"/>
      <c r="L18" s="400"/>
      <c r="M18" s="401"/>
      <c r="N18" s="402"/>
      <c r="O18" s="403"/>
      <c r="P18" s="404"/>
      <c r="Q18" s="405"/>
      <c r="R18" s="392"/>
      <c r="S18" s="392">
        <f t="shared" si="3"/>
        <v>0</v>
      </c>
      <c r="T18" s="392"/>
      <c r="U18" s="406">
        <f t="shared" si="4"/>
        <v>0</v>
      </c>
    </row>
    <row r="19" ht="99.75" customHeight="1">
      <c r="A19" s="353"/>
      <c r="B19" s="420" t="s">
        <v>444</v>
      </c>
      <c r="C19" s="222"/>
      <c r="D19" s="392">
        <v>1.0</v>
      </c>
      <c r="E19" s="392" t="s">
        <v>445</v>
      </c>
      <c r="F19" s="83" t="s">
        <v>446</v>
      </c>
      <c r="G19" s="395">
        <v>174.0</v>
      </c>
      <c r="H19" s="396"/>
      <c r="I19" s="397"/>
      <c r="J19" s="398"/>
      <c r="K19" s="399"/>
      <c r="L19" s="400"/>
      <c r="M19" s="401"/>
      <c r="N19" s="402"/>
      <c r="O19" s="403"/>
      <c r="P19" s="404"/>
      <c r="Q19" s="405"/>
      <c r="R19" s="392"/>
      <c r="S19" s="392">
        <f t="shared" si="3"/>
        <v>0</v>
      </c>
      <c r="T19" s="392"/>
      <c r="U19" s="406">
        <f t="shared" si="4"/>
        <v>0</v>
      </c>
    </row>
    <row r="20" ht="99.75" customHeight="1">
      <c r="A20" s="353"/>
      <c r="B20" s="420" t="s">
        <v>447</v>
      </c>
      <c r="C20" s="222"/>
      <c r="D20" s="392">
        <v>1.0</v>
      </c>
      <c r="E20" s="392" t="s">
        <v>448</v>
      </c>
      <c r="F20" s="83" t="s">
        <v>449</v>
      </c>
      <c r="G20" s="395">
        <v>286.0</v>
      </c>
      <c r="H20" s="396"/>
      <c r="I20" s="397"/>
      <c r="J20" s="398"/>
      <c r="K20" s="399"/>
      <c r="L20" s="400"/>
      <c r="M20" s="401"/>
      <c r="N20" s="402"/>
      <c r="O20" s="403"/>
      <c r="P20" s="404"/>
      <c r="Q20" s="405"/>
      <c r="R20" s="422"/>
      <c r="S20" s="392">
        <f t="shared" si="3"/>
        <v>0</v>
      </c>
      <c r="T20" s="392"/>
      <c r="U20" s="406">
        <f t="shared" si="4"/>
        <v>0</v>
      </c>
    </row>
    <row r="21" ht="99.75" customHeight="1">
      <c r="A21" s="353"/>
      <c r="B21" s="420" t="s">
        <v>450</v>
      </c>
      <c r="C21" s="222"/>
      <c r="D21" s="392">
        <v>1.0</v>
      </c>
      <c r="E21" s="392" t="s">
        <v>451</v>
      </c>
      <c r="F21" s="83" t="s">
        <v>452</v>
      </c>
      <c r="G21" s="395">
        <v>169.0</v>
      </c>
      <c r="H21" s="396"/>
      <c r="I21" s="397"/>
      <c r="J21" s="398"/>
      <c r="K21" s="399"/>
      <c r="L21" s="400"/>
      <c r="M21" s="401"/>
      <c r="N21" s="402"/>
      <c r="O21" s="403"/>
      <c r="P21" s="404"/>
      <c r="Q21" s="405"/>
      <c r="R21" s="392"/>
      <c r="S21" s="392">
        <f t="shared" si="3"/>
        <v>0</v>
      </c>
      <c r="T21" s="392"/>
      <c r="U21" s="406">
        <f t="shared" si="4"/>
        <v>0</v>
      </c>
    </row>
    <row r="22" ht="99.75" customHeight="1">
      <c r="A22" s="353"/>
      <c r="B22" s="420" t="s">
        <v>453</v>
      </c>
      <c r="C22" s="391"/>
      <c r="D22" s="392">
        <v>1.0</v>
      </c>
      <c r="E22" s="392" t="s">
        <v>454</v>
      </c>
      <c r="F22" s="83" t="s">
        <v>455</v>
      </c>
      <c r="G22" s="395">
        <v>276.0</v>
      </c>
      <c r="H22" s="396"/>
      <c r="I22" s="397"/>
      <c r="J22" s="398"/>
      <c r="K22" s="399"/>
      <c r="L22" s="400"/>
      <c r="M22" s="401"/>
      <c r="N22" s="402"/>
      <c r="O22" s="403"/>
      <c r="P22" s="404"/>
      <c r="Q22" s="405"/>
      <c r="R22" s="392"/>
      <c r="S22" s="392">
        <f t="shared" si="3"/>
        <v>0</v>
      </c>
      <c r="T22" s="392"/>
      <c r="U22" s="406">
        <f t="shared" si="4"/>
        <v>0</v>
      </c>
    </row>
    <row r="23" ht="99.75" customHeight="1">
      <c r="A23" s="353"/>
      <c r="B23" s="420" t="s">
        <v>456</v>
      </c>
      <c r="C23" s="391"/>
      <c r="D23" s="392">
        <v>1.0</v>
      </c>
      <c r="E23" s="392" t="s">
        <v>454</v>
      </c>
      <c r="F23" s="83" t="s">
        <v>457</v>
      </c>
      <c r="G23" s="395">
        <v>276.0</v>
      </c>
      <c r="H23" s="396"/>
      <c r="I23" s="397"/>
      <c r="J23" s="398"/>
      <c r="K23" s="399"/>
      <c r="L23" s="400"/>
      <c r="M23" s="401"/>
      <c r="N23" s="402"/>
      <c r="O23" s="403"/>
      <c r="P23" s="404"/>
      <c r="Q23" s="405"/>
      <c r="R23" s="392"/>
      <c r="S23" s="392">
        <f t="shared" si="3"/>
        <v>0</v>
      </c>
      <c r="T23" s="392"/>
      <c r="U23" s="406">
        <f t="shared" si="4"/>
        <v>0</v>
      </c>
    </row>
    <row r="24" ht="28.5" customHeight="1">
      <c r="A24" s="353"/>
      <c r="G24" s="1"/>
    </row>
    <row r="25" ht="58.5" customHeight="1">
      <c r="A25" s="353"/>
      <c r="B25" s="423" t="s">
        <v>458</v>
      </c>
      <c r="C25" s="355"/>
      <c r="D25" s="408">
        <f>SUM(D26:D32)</f>
        <v>7</v>
      </c>
      <c r="E25" s="409" t="s">
        <v>459</v>
      </c>
      <c r="F25" s="358"/>
      <c r="G25" s="359">
        <v>1600.0</v>
      </c>
      <c r="H25" s="410"/>
      <c r="I25" s="411"/>
      <c r="J25" s="412"/>
      <c r="K25" s="413"/>
      <c r="L25" s="414"/>
      <c r="M25" s="415"/>
      <c r="N25" s="416"/>
      <c r="O25" s="417"/>
      <c r="P25" s="418"/>
      <c r="Q25" s="419"/>
      <c r="R25" s="371"/>
      <c r="S25" s="371">
        <f>SUM(H25:R25)*D25</f>
        <v>0</v>
      </c>
      <c r="T25" s="424"/>
      <c r="U25" s="372">
        <f>SUM(H25:R25)*G25</f>
        <v>0</v>
      </c>
    </row>
    <row r="26" ht="99.75" customHeight="1">
      <c r="A26" s="353"/>
      <c r="B26" s="425" t="s">
        <v>460</v>
      </c>
      <c r="C26" s="426"/>
      <c r="D26" s="375">
        <v>1.0</v>
      </c>
      <c r="E26" s="375" t="s">
        <v>461</v>
      </c>
      <c r="F26" s="421" t="s">
        <v>462</v>
      </c>
      <c r="G26" s="378">
        <v>194.0</v>
      </c>
      <c r="H26" s="379"/>
      <c r="I26" s="380"/>
      <c r="J26" s="381"/>
      <c r="K26" s="382"/>
      <c r="L26" s="383"/>
      <c r="M26" s="384"/>
      <c r="N26" s="385"/>
      <c r="O26" s="386"/>
      <c r="P26" s="387"/>
      <c r="Q26" s="388"/>
      <c r="R26" s="375"/>
      <c r="S26" s="375">
        <f t="shared" ref="S26:S32" si="5">SUM(H26:R26)</f>
        <v>0</v>
      </c>
      <c r="T26" s="375"/>
      <c r="U26" s="389">
        <f t="shared" ref="U26:U32" si="6">S26*G26</f>
        <v>0</v>
      </c>
    </row>
    <row r="27" ht="99.75" customHeight="1">
      <c r="A27" s="353"/>
      <c r="B27" s="425" t="s">
        <v>463</v>
      </c>
      <c r="C27" s="391"/>
      <c r="D27" s="392">
        <v>1.0</v>
      </c>
      <c r="E27" s="392" t="s">
        <v>464</v>
      </c>
      <c r="F27" s="83" t="s">
        <v>465</v>
      </c>
      <c r="G27" s="395">
        <v>195.0</v>
      </c>
      <c r="H27" s="396"/>
      <c r="I27" s="397"/>
      <c r="J27" s="398"/>
      <c r="K27" s="399"/>
      <c r="L27" s="400"/>
      <c r="M27" s="401"/>
      <c r="N27" s="402"/>
      <c r="O27" s="403"/>
      <c r="P27" s="404"/>
      <c r="Q27" s="405"/>
      <c r="R27" s="392"/>
      <c r="S27" s="392">
        <f t="shared" si="5"/>
        <v>0</v>
      </c>
      <c r="T27" s="392"/>
      <c r="U27" s="406">
        <f t="shared" si="6"/>
        <v>0</v>
      </c>
    </row>
    <row r="28" ht="99.75" customHeight="1">
      <c r="A28" s="353"/>
      <c r="B28" s="425" t="s">
        <v>466</v>
      </c>
      <c r="C28" s="391"/>
      <c r="D28" s="392">
        <v>1.0</v>
      </c>
      <c r="E28" s="392" t="s">
        <v>467</v>
      </c>
      <c r="F28" s="83" t="s">
        <v>468</v>
      </c>
      <c r="G28" s="395">
        <v>278.0</v>
      </c>
      <c r="H28" s="396"/>
      <c r="I28" s="397"/>
      <c r="J28" s="398"/>
      <c r="K28" s="399"/>
      <c r="L28" s="400"/>
      <c r="M28" s="401"/>
      <c r="N28" s="402"/>
      <c r="O28" s="403"/>
      <c r="P28" s="404"/>
      <c r="Q28" s="405"/>
      <c r="R28" s="392"/>
      <c r="S28" s="392">
        <f t="shared" si="5"/>
        <v>0</v>
      </c>
      <c r="T28" s="392"/>
      <c r="U28" s="406">
        <f t="shared" si="6"/>
        <v>0</v>
      </c>
    </row>
    <row r="29" ht="99.0" customHeight="1">
      <c r="A29" s="353"/>
      <c r="B29" s="425" t="s">
        <v>469</v>
      </c>
      <c r="C29" s="391"/>
      <c r="D29" s="392">
        <v>1.0</v>
      </c>
      <c r="E29" s="392" t="s">
        <v>470</v>
      </c>
      <c r="F29" s="83" t="s">
        <v>471</v>
      </c>
      <c r="G29" s="395">
        <v>279.0</v>
      </c>
      <c r="H29" s="396"/>
      <c r="I29" s="397"/>
      <c r="J29" s="398"/>
      <c r="K29" s="399"/>
      <c r="L29" s="400"/>
      <c r="M29" s="401"/>
      <c r="N29" s="402"/>
      <c r="O29" s="403"/>
      <c r="P29" s="404"/>
      <c r="Q29" s="405"/>
      <c r="R29" s="392"/>
      <c r="S29" s="392">
        <f t="shared" si="5"/>
        <v>0</v>
      </c>
      <c r="T29" s="392"/>
      <c r="U29" s="406">
        <f t="shared" si="6"/>
        <v>0</v>
      </c>
    </row>
    <row r="30" ht="99.75" customHeight="1">
      <c r="A30" s="353"/>
      <c r="B30" s="425" t="s">
        <v>472</v>
      </c>
      <c r="C30" s="391"/>
      <c r="D30" s="392">
        <v>1.0</v>
      </c>
      <c r="E30" s="392" t="s">
        <v>473</v>
      </c>
      <c r="F30" s="83" t="s">
        <v>474</v>
      </c>
      <c r="G30" s="395">
        <v>276.0</v>
      </c>
      <c r="H30" s="396"/>
      <c r="I30" s="397"/>
      <c r="J30" s="398"/>
      <c r="K30" s="399"/>
      <c r="L30" s="400"/>
      <c r="M30" s="401"/>
      <c r="N30" s="402"/>
      <c r="O30" s="403"/>
      <c r="P30" s="404"/>
      <c r="Q30" s="405"/>
      <c r="R30" s="392"/>
      <c r="S30" s="392">
        <f t="shared" si="5"/>
        <v>0</v>
      </c>
      <c r="T30" s="392"/>
      <c r="U30" s="406">
        <f t="shared" si="6"/>
        <v>0</v>
      </c>
    </row>
    <row r="31" ht="99.75" customHeight="1">
      <c r="A31" s="353"/>
      <c r="B31" s="425" t="s">
        <v>475</v>
      </c>
      <c r="C31" s="391"/>
      <c r="D31" s="392">
        <v>1.0</v>
      </c>
      <c r="E31" s="392" t="s">
        <v>476</v>
      </c>
      <c r="F31" s="83" t="s">
        <v>477</v>
      </c>
      <c r="G31" s="395">
        <v>276.0</v>
      </c>
      <c r="H31" s="396"/>
      <c r="I31" s="397"/>
      <c r="J31" s="398"/>
      <c r="K31" s="399"/>
      <c r="L31" s="400"/>
      <c r="M31" s="401"/>
      <c r="N31" s="402"/>
      <c r="O31" s="403"/>
      <c r="P31" s="404"/>
      <c r="Q31" s="405"/>
      <c r="R31" s="392"/>
      <c r="S31" s="392">
        <f t="shared" si="5"/>
        <v>0</v>
      </c>
      <c r="T31" s="392"/>
      <c r="U31" s="406">
        <f t="shared" si="6"/>
        <v>0</v>
      </c>
    </row>
    <row r="32" ht="99.75" customHeight="1">
      <c r="A32" s="353"/>
      <c r="B32" s="425" t="s">
        <v>478</v>
      </c>
      <c r="C32" s="391"/>
      <c r="D32" s="392">
        <v>1.0</v>
      </c>
      <c r="E32" s="392" t="s">
        <v>479</v>
      </c>
      <c r="F32" s="83" t="s">
        <v>480</v>
      </c>
      <c r="G32" s="395">
        <v>186.0</v>
      </c>
      <c r="H32" s="396"/>
      <c r="I32" s="397"/>
      <c r="J32" s="398"/>
      <c r="K32" s="399"/>
      <c r="L32" s="400"/>
      <c r="M32" s="401"/>
      <c r="N32" s="402"/>
      <c r="O32" s="403"/>
      <c r="P32" s="404"/>
      <c r="Q32" s="405"/>
      <c r="R32" s="392"/>
      <c r="S32" s="392">
        <f t="shared" si="5"/>
        <v>0</v>
      </c>
      <c r="T32" s="392"/>
      <c r="U32" s="406">
        <f t="shared" si="6"/>
        <v>0</v>
      </c>
    </row>
    <row r="33" ht="36.0" customHeight="1">
      <c r="A33" s="353"/>
      <c r="G33" s="1"/>
    </row>
    <row r="34" ht="54.75" customHeight="1">
      <c r="A34" s="353"/>
      <c r="B34" s="427" t="s">
        <v>481</v>
      </c>
      <c r="C34" s="355"/>
      <c r="D34" s="424">
        <f>SUM(D35:D41)</f>
        <v>15</v>
      </c>
      <c r="E34" s="409" t="s">
        <v>482</v>
      </c>
      <c r="F34" s="358"/>
      <c r="G34" s="359">
        <v>2200.0</v>
      </c>
      <c r="H34" s="428"/>
      <c r="I34" s="429"/>
      <c r="J34" s="430"/>
      <c r="K34" s="431"/>
      <c r="L34" s="432"/>
      <c r="M34" s="433"/>
      <c r="N34" s="434"/>
      <c r="O34" s="435"/>
      <c r="P34" s="436"/>
      <c r="Q34" s="437"/>
      <c r="R34" s="424"/>
      <c r="S34" s="371">
        <f>SUM(H34:R34)*D34</f>
        <v>0</v>
      </c>
      <c r="T34" s="424"/>
      <c r="U34" s="372">
        <f>SUM(H34:R34)*G34</f>
        <v>0</v>
      </c>
    </row>
    <row r="35" ht="99.75" customHeight="1">
      <c r="A35" s="353"/>
      <c r="B35" s="438" t="s">
        <v>483</v>
      </c>
      <c r="C35" s="426"/>
      <c r="D35" s="375">
        <v>2.0</v>
      </c>
      <c r="E35" s="376" t="s">
        <v>484</v>
      </c>
      <c r="F35" s="377" t="s">
        <v>485</v>
      </c>
      <c r="G35" s="378">
        <v>352.0</v>
      </c>
      <c r="H35" s="379"/>
      <c r="I35" s="380"/>
      <c r="J35" s="381"/>
      <c r="K35" s="382"/>
      <c r="L35" s="383"/>
      <c r="M35" s="384"/>
      <c r="N35" s="385"/>
      <c r="O35" s="386"/>
      <c r="P35" s="387"/>
      <c r="Q35" s="388"/>
      <c r="R35" s="375"/>
      <c r="S35" s="375">
        <f t="shared" ref="S35:S41" si="7">SUM(H35:R35)</f>
        <v>0</v>
      </c>
      <c r="T35" s="375"/>
      <c r="U35" s="389">
        <f t="shared" ref="U35:U41" si="8">S35*G35</f>
        <v>0</v>
      </c>
    </row>
    <row r="36" ht="99.75" customHeight="1">
      <c r="A36" s="353"/>
      <c r="B36" s="438" t="s">
        <v>486</v>
      </c>
      <c r="C36" s="391"/>
      <c r="D36" s="392">
        <v>2.0</v>
      </c>
      <c r="E36" s="393" t="s">
        <v>487</v>
      </c>
      <c r="F36" s="394" t="s">
        <v>488</v>
      </c>
      <c r="G36" s="395">
        <v>349.0</v>
      </c>
      <c r="H36" s="396"/>
      <c r="I36" s="397"/>
      <c r="J36" s="398"/>
      <c r="K36" s="399"/>
      <c r="L36" s="400"/>
      <c r="M36" s="401"/>
      <c r="N36" s="402"/>
      <c r="O36" s="403"/>
      <c r="P36" s="404"/>
      <c r="Q36" s="405"/>
      <c r="R36" s="392"/>
      <c r="S36" s="392">
        <f t="shared" si="7"/>
        <v>0</v>
      </c>
      <c r="T36" s="392"/>
      <c r="U36" s="406">
        <f t="shared" si="8"/>
        <v>0</v>
      </c>
    </row>
    <row r="37" ht="99.75" customHeight="1">
      <c r="A37" s="353"/>
      <c r="B37" s="438" t="s">
        <v>489</v>
      </c>
      <c r="C37" s="391"/>
      <c r="D37" s="392">
        <v>2.0</v>
      </c>
      <c r="E37" s="393" t="s">
        <v>490</v>
      </c>
      <c r="F37" s="394" t="s">
        <v>491</v>
      </c>
      <c r="G37" s="395">
        <v>279.0</v>
      </c>
      <c r="H37" s="396"/>
      <c r="I37" s="397"/>
      <c r="J37" s="398"/>
      <c r="K37" s="399"/>
      <c r="L37" s="400"/>
      <c r="M37" s="401"/>
      <c r="N37" s="402"/>
      <c r="O37" s="403"/>
      <c r="P37" s="404"/>
      <c r="Q37" s="405"/>
      <c r="R37" s="392"/>
      <c r="S37" s="392">
        <f t="shared" si="7"/>
        <v>0</v>
      </c>
      <c r="T37" s="392"/>
      <c r="U37" s="406">
        <f t="shared" si="8"/>
        <v>0</v>
      </c>
    </row>
    <row r="38" ht="99.75" customHeight="1">
      <c r="A38" s="353"/>
      <c r="B38" s="438" t="s">
        <v>492</v>
      </c>
      <c r="C38" s="391"/>
      <c r="D38" s="392">
        <v>2.0</v>
      </c>
      <c r="E38" s="393" t="s">
        <v>487</v>
      </c>
      <c r="F38" s="394" t="s">
        <v>493</v>
      </c>
      <c r="G38" s="395">
        <v>332.0</v>
      </c>
      <c r="H38" s="396"/>
      <c r="I38" s="397"/>
      <c r="J38" s="398"/>
      <c r="K38" s="399"/>
      <c r="L38" s="400"/>
      <c r="M38" s="401"/>
      <c r="N38" s="402"/>
      <c r="O38" s="403"/>
      <c r="P38" s="404"/>
      <c r="Q38" s="405"/>
      <c r="R38" s="392"/>
      <c r="S38" s="392">
        <f t="shared" si="7"/>
        <v>0</v>
      </c>
      <c r="T38" s="392"/>
      <c r="U38" s="406">
        <f t="shared" si="8"/>
        <v>0</v>
      </c>
    </row>
    <row r="39" ht="99.75" customHeight="1">
      <c r="A39" s="353"/>
      <c r="B39" s="438" t="s">
        <v>494</v>
      </c>
      <c r="C39" s="391"/>
      <c r="D39" s="392">
        <v>2.0</v>
      </c>
      <c r="E39" s="393" t="s">
        <v>495</v>
      </c>
      <c r="F39" s="394" t="s">
        <v>496</v>
      </c>
      <c r="G39" s="395">
        <v>279.0</v>
      </c>
      <c r="H39" s="396"/>
      <c r="I39" s="397"/>
      <c r="J39" s="398"/>
      <c r="K39" s="399"/>
      <c r="L39" s="400"/>
      <c r="M39" s="401"/>
      <c r="N39" s="402"/>
      <c r="O39" s="403"/>
      <c r="P39" s="404"/>
      <c r="Q39" s="405"/>
      <c r="R39" s="392"/>
      <c r="S39" s="392">
        <f t="shared" si="7"/>
        <v>0</v>
      </c>
      <c r="T39" s="392"/>
      <c r="U39" s="406">
        <f t="shared" si="8"/>
        <v>0</v>
      </c>
    </row>
    <row r="40" ht="99.75" customHeight="1">
      <c r="A40" s="353"/>
      <c r="B40" s="438" t="s">
        <v>497</v>
      </c>
      <c r="C40" s="391"/>
      <c r="D40" s="392">
        <v>2.0</v>
      </c>
      <c r="E40" s="393" t="s">
        <v>498</v>
      </c>
      <c r="F40" s="394" t="s">
        <v>499</v>
      </c>
      <c r="G40" s="395">
        <v>330.0</v>
      </c>
      <c r="H40" s="396"/>
      <c r="I40" s="397"/>
      <c r="J40" s="398"/>
      <c r="K40" s="399"/>
      <c r="L40" s="400"/>
      <c r="M40" s="401"/>
      <c r="N40" s="402"/>
      <c r="O40" s="403"/>
      <c r="P40" s="404"/>
      <c r="Q40" s="405"/>
      <c r="R40" s="392"/>
      <c r="S40" s="392">
        <f t="shared" si="7"/>
        <v>0</v>
      </c>
      <c r="T40" s="392"/>
      <c r="U40" s="406">
        <f t="shared" si="8"/>
        <v>0</v>
      </c>
    </row>
    <row r="41" ht="99.75" customHeight="1">
      <c r="A41" s="353"/>
      <c r="B41" s="438" t="s">
        <v>500</v>
      </c>
      <c r="C41" s="391"/>
      <c r="D41" s="392">
        <v>3.0</v>
      </c>
      <c r="E41" s="393" t="s">
        <v>501</v>
      </c>
      <c r="F41" s="394" t="s">
        <v>502</v>
      </c>
      <c r="G41" s="395">
        <v>510.0</v>
      </c>
      <c r="H41" s="396"/>
      <c r="I41" s="397"/>
      <c r="J41" s="398"/>
      <c r="K41" s="399"/>
      <c r="L41" s="400"/>
      <c r="M41" s="401"/>
      <c r="N41" s="402"/>
      <c r="O41" s="403"/>
      <c r="P41" s="404"/>
      <c r="Q41" s="405"/>
      <c r="R41" s="392"/>
      <c r="S41" s="392">
        <f t="shared" si="7"/>
        <v>0</v>
      </c>
      <c r="T41" s="392"/>
      <c r="U41" s="406">
        <f t="shared" si="8"/>
        <v>0</v>
      </c>
    </row>
    <row r="42" ht="24.75" customHeight="1">
      <c r="A42" s="353"/>
      <c r="G42" s="1"/>
      <c r="H42" s="375">
        <f t="shared" ref="H42:T42" si="9">SUM(H7:H41)</f>
        <v>0</v>
      </c>
      <c r="I42" s="375">
        <f t="shared" si="9"/>
        <v>0</v>
      </c>
      <c r="J42" s="375">
        <f t="shared" si="9"/>
        <v>0</v>
      </c>
      <c r="K42" s="375">
        <f t="shared" si="9"/>
        <v>0</v>
      </c>
      <c r="L42" s="375">
        <f t="shared" si="9"/>
        <v>0</v>
      </c>
      <c r="M42" s="375">
        <f t="shared" si="9"/>
        <v>0</v>
      </c>
      <c r="N42" s="375">
        <f t="shared" si="9"/>
        <v>0</v>
      </c>
      <c r="O42" s="375">
        <f t="shared" si="9"/>
        <v>0</v>
      </c>
      <c r="P42" s="375">
        <f t="shared" si="9"/>
        <v>0</v>
      </c>
      <c r="Q42" s="375">
        <f t="shared" si="9"/>
        <v>0</v>
      </c>
      <c r="R42" s="375">
        <f t="shared" si="9"/>
        <v>0</v>
      </c>
      <c r="S42" s="375">
        <f t="shared" si="9"/>
        <v>0</v>
      </c>
      <c r="T42" s="375">
        <f t="shared" si="9"/>
        <v>0</v>
      </c>
      <c r="U42" s="439">
        <f>SUM(U6:U41)</f>
        <v>0</v>
      </c>
    </row>
    <row r="43" ht="15.75" customHeight="1">
      <c r="A43" s="353"/>
      <c r="G43" s="1"/>
    </row>
    <row r="44" ht="15.75" customHeight="1">
      <c r="A44" s="353"/>
      <c r="G44" s="1"/>
    </row>
    <row r="45" ht="15.75" customHeight="1">
      <c r="A45" s="353"/>
      <c r="G45" s="1"/>
    </row>
    <row r="46" ht="15.75" customHeight="1">
      <c r="A46" s="353"/>
      <c r="G46" s="1"/>
    </row>
    <row r="47" ht="15.75" customHeight="1">
      <c r="A47" s="353"/>
      <c r="G47" s="1"/>
    </row>
    <row r="48" ht="15.75" customHeight="1">
      <c r="A48" s="353"/>
      <c r="G48" s="1"/>
    </row>
    <row r="49" ht="15.75" customHeight="1">
      <c r="A49" s="353"/>
      <c r="G49" s="1"/>
    </row>
    <row r="50" ht="15.75" customHeight="1">
      <c r="A50" s="353"/>
      <c r="G50" s="1"/>
    </row>
    <row r="51" ht="15.75" customHeight="1">
      <c r="A51" s="353"/>
      <c r="G51" s="1"/>
    </row>
    <row r="52" ht="15.75" customHeight="1">
      <c r="A52" s="353"/>
      <c r="G52" s="1"/>
    </row>
    <row r="53" ht="15.75" customHeight="1">
      <c r="G53" s="1"/>
    </row>
    <row r="54" ht="15.75" customHeight="1">
      <c r="G54" s="1"/>
    </row>
    <row r="55" ht="15.75" customHeight="1">
      <c r="G55" s="1"/>
    </row>
    <row r="56" ht="15.75" customHeight="1">
      <c r="G56" s="1"/>
    </row>
    <row r="57" ht="15.75" customHeight="1">
      <c r="G57" s="1"/>
    </row>
    <row r="58" ht="15.75" customHeight="1">
      <c r="G58" s="1"/>
    </row>
    <row r="59" ht="15.75" customHeight="1">
      <c r="G59" s="1"/>
    </row>
    <row r="60" ht="15.75" customHeight="1">
      <c r="G60" s="1"/>
    </row>
    <row r="61" ht="15.75" customHeight="1">
      <c r="G61" s="1"/>
    </row>
    <row r="62" ht="15.75" customHeight="1">
      <c r="G62" s="1"/>
    </row>
    <row r="63" ht="15.75" customHeight="1">
      <c r="G63" s="1"/>
    </row>
    <row r="64" ht="15.75" customHeight="1">
      <c r="G64" s="1"/>
    </row>
    <row r="65" ht="15.75" customHeight="1">
      <c r="G65" s="1"/>
    </row>
    <row r="66" ht="15.75" customHeight="1">
      <c r="G66" s="1"/>
    </row>
    <row r="67" ht="15.75" customHeight="1">
      <c r="G67" s="1"/>
    </row>
    <row r="68" ht="15.75" customHeight="1">
      <c r="G68" s="1"/>
    </row>
    <row r="69" ht="15.75" customHeight="1">
      <c r="G69" s="1"/>
    </row>
    <row r="70" ht="15.75" customHeight="1">
      <c r="G70" s="1"/>
    </row>
    <row r="71" ht="15.75" customHeight="1">
      <c r="G71" s="1"/>
    </row>
    <row r="72" ht="15.75" customHeight="1">
      <c r="G72" s="1"/>
    </row>
    <row r="73" ht="15.75" customHeight="1">
      <c r="G73" s="1"/>
    </row>
    <row r="74" ht="15.75" customHeight="1">
      <c r="G74" s="1"/>
    </row>
    <row r="75" ht="15.75" customHeight="1">
      <c r="G75" s="1"/>
    </row>
    <row r="76" ht="15.75" customHeight="1">
      <c r="G76" s="1"/>
    </row>
    <row r="77" ht="15.75" customHeight="1">
      <c r="G77" s="1"/>
    </row>
    <row r="78" ht="15.75" customHeight="1">
      <c r="G78" s="1"/>
    </row>
    <row r="79" ht="15.75" customHeight="1">
      <c r="G79" s="1"/>
    </row>
    <row r="80" ht="15.75" customHeight="1">
      <c r="G80" s="1"/>
    </row>
    <row r="81" ht="15.75" customHeight="1">
      <c r="G81" s="1"/>
    </row>
    <row r="82" ht="15.75" customHeight="1">
      <c r="G82" s="1"/>
    </row>
    <row r="83" ht="15.75" customHeight="1">
      <c r="G83" s="1"/>
    </row>
    <row r="84" ht="15.75" customHeight="1">
      <c r="G84" s="1"/>
    </row>
    <row r="85" ht="15.75" customHeight="1">
      <c r="G85" s="1"/>
    </row>
    <row r="86" ht="15.75" customHeight="1">
      <c r="G86" s="1"/>
    </row>
    <row r="87" ht="15.75" customHeight="1">
      <c r="G87" s="1"/>
    </row>
    <row r="88" ht="15.75" customHeight="1">
      <c r="G88" s="1"/>
    </row>
    <row r="89" ht="15.75" customHeight="1">
      <c r="G89" s="1"/>
    </row>
    <row r="90" ht="15.75" customHeight="1">
      <c r="G90" s="1"/>
    </row>
    <row r="91" ht="15.75" customHeight="1">
      <c r="G91" s="1"/>
    </row>
    <row r="92" ht="15.75" customHeight="1">
      <c r="G92" s="1"/>
    </row>
    <row r="93" ht="15.75" customHeight="1">
      <c r="G93" s="1"/>
    </row>
    <row r="94" ht="15.75" customHeight="1">
      <c r="G94" s="1"/>
    </row>
    <row r="95" ht="15.75" customHeight="1">
      <c r="G95" s="1"/>
    </row>
    <row r="96" ht="15.75" customHeight="1">
      <c r="G96" s="1"/>
    </row>
    <row r="97" ht="15.75" customHeight="1">
      <c r="G97" s="1"/>
    </row>
    <row r="98" ht="15.75" customHeight="1">
      <c r="G98" s="1"/>
    </row>
    <row r="99" ht="15.75" customHeight="1">
      <c r="G99" s="1"/>
    </row>
    <row r="100" ht="15.75" customHeight="1">
      <c r="G100" s="1"/>
    </row>
    <row r="101" ht="15.75" customHeight="1">
      <c r="G101" s="1"/>
    </row>
    <row r="102" ht="15.75" customHeight="1">
      <c r="G102" s="1"/>
    </row>
    <row r="103" ht="15.75" customHeight="1">
      <c r="G103" s="1"/>
    </row>
    <row r="104" ht="15.75" customHeight="1">
      <c r="G104" s="1"/>
    </row>
    <row r="105" ht="15.75" customHeight="1">
      <c r="G105" s="1"/>
    </row>
    <row r="106" ht="15.75" customHeight="1">
      <c r="G106" s="1"/>
    </row>
    <row r="107" ht="15.75" customHeight="1">
      <c r="G107" s="1"/>
    </row>
    <row r="108" ht="15.75" customHeight="1">
      <c r="G108" s="1"/>
    </row>
    <row r="109" ht="15.75" customHeight="1">
      <c r="G109" s="1"/>
    </row>
    <row r="110" ht="15.75" customHeight="1">
      <c r="G110" s="1"/>
    </row>
    <row r="111" ht="15.75" customHeight="1">
      <c r="G111" s="1"/>
    </row>
    <row r="112" ht="15.75" customHeight="1">
      <c r="G112" s="1"/>
    </row>
    <row r="113" ht="15.75" customHeight="1">
      <c r="G113" s="1"/>
    </row>
    <row r="114" ht="15.75" customHeight="1">
      <c r="G114" s="1"/>
    </row>
    <row r="115" ht="15.75" customHeight="1">
      <c r="G115" s="1"/>
    </row>
    <row r="116" ht="15.75" customHeight="1">
      <c r="G116" s="1"/>
    </row>
    <row r="117" ht="15.75" customHeight="1">
      <c r="G117" s="1"/>
    </row>
    <row r="118" ht="15.75" customHeight="1">
      <c r="G118" s="1"/>
    </row>
    <row r="119" ht="15.75" customHeight="1">
      <c r="G119" s="1"/>
    </row>
    <row r="120" ht="15.75" customHeight="1">
      <c r="G120" s="1"/>
    </row>
    <row r="121" ht="15.75" customHeight="1">
      <c r="G121" s="1"/>
    </row>
    <row r="122" ht="15.75" customHeight="1">
      <c r="G122" s="1"/>
    </row>
    <row r="123" ht="15.75" customHeight="1">
      <c r="G123" s="1"/>
    </row>
    <row r="124" ht="15.75" customHeight="1">
      <c r="G124" s="1"/>
    </row>
    <row r="125" ht="15.75" customHeight="1">
      <c r="G125" s="1"/>
    </row>
    <row r="126" ht="15.75" customHeight="1">
      <c r="G126" s="1"/>
    </row>
    <row r="127" ht="15.75" customHeight="1">
      <c r="G127" s="1"/>
    </row>
    <row r="128" ht="15.75" customHeight="1">
      <c r="G128" s="1"/>
    </row>
    <row r="129" ht="15.75" customHeight="1">
      <c r="G129" s="1"/>
    </row>
    <row r="130" ht="15.75" customHeight="1">
      <c r="G130" s="1"/>
    </row>
    <row r="131" ht="15.75" customHeight="1">
      <c r="G131" s="1"/>
    </row>
    <row r="132" ht="15.75" customHeight="1">
      <c r="G132" s="1"/>
    </row>
    <row r="133" ht="15.75" customHeight="1">
      <c r="G133" s="1"/>
    </row>
    <row r="134" ht="15.75" customHeight="1">
      <c r="G134" s="1"/>
    </row>
    <row r="135" ht="15.75" customHeight="1">
      <c r="G135" s="1"/>
    </row>
    <row r="136" ht="15.75" customHeight="1">
      <c r="G136" s="1"/>
    </row>
    <row r="137" ht="15.75" customHeight="1">
      <c r="G137" s="1"/>
    </row>
    <row r="138" ht="15.75" customHeight="1">
      <c r="G138" s="1"/>
    </row>
    <row r="139" ht="15.75" customHeight="1">
      <c r="G139" s="1"/>
    </row>
    <row r="140" ht="15.75" customHeight="1">
      <c r="G140" s="1"/>
    </row>
    <row r="141" ht="15.75" customHeight="1">
      <c r="G141" s="1"/>
    </row>
    <row r="142" ht="15.75" customHeight="1">
      <c r="G142" s="1"/>
    </row>
    <row r="143" ht="15.75" customHeight="1">
      <c r="G143" s="1"/>
    </row>
    <row r="144" ht="15.75" customHeight="1">
      <c r="G144" s="1"/>
    </row>
    <row r="145" ht="15.75" customHeight="1">
      <c r="G145" s="1"/>
    </row>
    <row r="146" ht="15.75" customHeight="1">
      <c r="G146" s="1"/>
    </row>
    <row r="147" ht="15.75" customHeight="1">
      <c r="G147" s="1"/>
    </row>
    <row r="148" ht="15.75" customHeight="1">
      <c r="G148" s="1"/>
    </row>
    <row r="149" ht="15.75" customHeight="1">
      <c r="G149" s="1"/>
    </row>
    <row r="150" ht="15.75" customHeight="1">
      <c r="G150" s="1"/>
    </row>
    <row r="151" ht="15.75" customHeight="1">
      <c r="G151" s="1"/>
    </row>
    <row r="152" ht="15.75" customHeight="1">
      <c r="G152" s="1"/>
    </row>
    <row r="153" ht="15.75" customHeight="1">
      <c r="G153" s="1"/>
    </row>
    <row r="154" ht="15.75" customHeight="1">
      <c r="G154" s="1"/>
    </row>
    <row r="155" ht="15.75" customHeight="1">
      <c r="G155" s="1"/>
    </row>
    <row r="156" ht="15.75" customHeight="1">
      <c r="G156" s="1"/>
    </row>
    <row r="157" ht="15.75" customHeight="1">
      <c r="G157" s="1"/>
    </row>
    <row r="158" ht="15.75" customHeight="1">
      <c r="G158" s="1"/>
    </row>
    <row r="159" ht="15.75" customHeight="1">
      <c r="G159" s="1"/>
    </row>
    <row r="160" ht="15.75" customHeight="1">
      <c r="G160" s="1"/>
    </row>
    <row r="161" ht="15.75" customHeight="1">
      <c r="G161" s="1"/>
    </row>
    <row r="162" ht="15.75" customHeight="1">
      <c r="G162" s="1"/>
    </row>
    <row r="163" ht="15.75" customHeight="1">
      <c r="G163" s="1"/>
    </row>
    <row r="164" ht="15.75" customHeight="1">
      <c r="G164" s="1"/>
    </row>
    <row r="165" ht="15.75" customHeight="1">
      <c r="G165" s="1"/>
    </row>
    <row r="166" ht="15.75" customHeight="1">
      <c r="G166" s="1"/>
    </row>
    <row r="167" ht="15.75" customHeight="1">
      <c r="G167" s="1"/>
    </row>
    <row r="168" ht="15.75" customHeight="1">
      <c r="G168" s="1"/>
    </row>
    <row r="169" ht="15.75" customHeight="1">
      <c r="G169" s="1"/>
    </row>
    <row r="170" ht="15.75" customHeight="1">
      <c r="G170" s="1"/>
    </row>
    <row r="171" ht="15.75" customHeight="1">
      <c r="G171" s="1"/>
    </row>
    <row r="172" ht="15.75" customHeight="1">
      <c r="G172" s="1"/>
    </row>
    <row r="173" ht="15.75" customHeight="1">
      <c r="G173" s="1"/>
    </row>
    <row r="174" ht="15.75" customHeight="1">
      <c r="G174" s="1"/>
    </row>
    <row r="175" ht="15.75" customHeight="1">
      <c r="G175" s="1"/>
    </row>
    <row r="176" ht="15.75" customHeight="1">
      <c r="G176" s="1"/>
    </row>
    <row r="177" ht="15.75" customHeight="1">
      <c r="G177" s="1"/>
    </row>
    <row r="178" ht="15.75" customHeight="1">
      <c r="G178" s="1"/>
    </row>
    <row r="179" ht="15.75" customHeight="1">
      <c r="G179" s="1"/>
    </row>
    <row r="180" ht="15.75" customHeight="1">
      <c r="G180" s="1"/>
    </row>
    <row r="181" ht="15.75" customHeight="1">
      <c r="G181" s="1"/>
    </row>
    <row r="182" ht="15.75" customHeight="1">
      <c r="G182" s="1"/>
    </row>
    <row r="183" ht="15.75" customHeight="1">
      <c r="G183" s="1"/>
    </row>
    <row r="184" ht="15.75" customHeight="1">
      <c r="G184" s="1"/>
    </row>
    <row r="185" ht="15.75" customHeight="1">
      <c r="G185" s="1"/>
    </row>
    <row r="186" ht="15.75" customHeight="1">
      <c r="G186" s="1"/>
    </row>
    <row r="187" ht="15.75" customHeight="1">
      <c r="G187" s="1"/>
    </row>
    <row r="188" ht="15.75" customHeight="1">
      <c r="G188" s="1"/>
    </row>
    <row r="189" ht="15.75" customHeight="1">
      <c r="G189" s="1"/>
    </row>
    <row r="190" ht="15.75" customHeight="1">
      <c r="G190" s="1"/>
    </row>
    <row r="191" ht="15.75" customHeight="1">
      <c r="G191" s="1"/>
    </row>
    <row r="192" ht="15.75" customHeight="1">
      <c r="G192" s="1"/>
    </row>
    <row r="193" ht="15.75" customHeight="1">
      <c r="G193" s="1"/>
    </row>
    <row r="194" ht="15.75" customHeight="1">
      <c r="G194" s="1"/>
    </row>
    <row r="195" ht="15.75" customHeight="1">
      <c r="G195" s="1"/>
    </row>
    <row r="196" ht="15.75" customHeight="1">
      <c r="G196" s="1"/>
    </row>
    <row r="197" ht="15.75" customHeight="1">
      <c r="G197" s="1"/>
    </row>
    <row r="198" ht="15.75" customHeight="1">
      <c r="G198" s="1"/>
    </row>
    <row r="199" ht="15.75" customHeight="1">
      <c r="G199" s="1"/>
    </row>
    <row r="200" ht="15.75" customHeight="1">
      <c r="G200" s="1"/>
    </row>
    <row r="201" ht="15.75" customHeight="1">
      <c r="G201" s="1"/>
    </row>
    <row r="202" ht="15.75" customHeight="1">
      <c r="G202" s="1"/>
    </row>
    <row r="203" ht="15.75" customHeight="1">
      <c r="G203" s="1"/>
    </row>
    <row r="204" ht="15.75" customHeight="1">
      <c r="G204" s="1"/>
    </row>
    <row r="205" ht="15.75" customHeight="1">
      <c r="G205" s="1"/>
    </row>
    <row r="206" ht="15.75" customHeight="1">
      <c r="G206" s="1"/>
    </row>
    <row r="207" ht="15.75" customHeight="1">
      <c r="G207" s="1"/>
    </row>
    <row r="208" ht="15.75" customHeight="1">
      <c r="G208" s="1"/>
    </row>
    <row r="209" ht="15.75" customHeight="1">
      <c r="G209" s="1"/>
    </row>
    <row r="210" ht="15.75" customHeight="1">
      <c r="G210" s="1"/>
    </row>
    <row r="211" ht="15.75" customHeight="1">
      <c r="G211" s="1"/>
    </row>
    <row r="212" ht="15.75" customHeight="1">
      <c r="G212" s="1"/>
    </row>
    <row r="213" ht="15.75" customHeight="1">
      <c r="G213" s="1"/>
    </row>
    <row r="214" ht="15.75" customHeight="1">
      <c r="G214" s="1"/>
    </row>
    <row r="215" ht="15.75" customHeight="1">
      <c r="G215" s="1"/>
    </row>
    <row r="216" ht="15.75" customHeight="1">
      <c r="G216" s="1"/>
    </row>
    <row r="217" ht="15.75" customHeight="1">
      <c r="G217" s="1"/>
    </row>
    <row r="218" ht="15.75" customHeight="1">
      <c r="G218" s="1"/>
    </row>
    <row r="219" ht="15.75" customHeight="1">
      <c r="G219" s="1"/>
    </row>
    <row r="220" ht="15.75" customHeight="1">
      <c r="G220" s="1"/>
    </row>
    <row r="221" ht="15.75" customHeight="1">
      <c r="G221" s="1"/>
    </row>
    <row r="222" ht="15.75" customHeight="1">
      <c r="G222" s="1"/>
    </row>
    <row r="223" ht="15.75" customHeight="1">
      <c r="G223" s="1"/>
    </row>
    <row r="224" ht="15.75" customHeight="1">
      <c r="G224" s="1"/>
    </row>
    <row r="225" ht="15.75" customHeight="1">
      <c r="G225" s="1"/>
    </row>
    <row r="226" ht="15.75" customHeight="1">
      <c r="G226" s="1"/>
    </row>
    <row r="227" ht="15.75" customHeight="1">
      <c r="G227" s="1"/>
    </row>
    <row r="228" ht="15.75" customHeight="1">
      <c r="G228" s="1"/>
    </row>
    <row r="229" ht="15.75" customHeight="1">
      <c r="G229" s="1"/>
    </row>
    <row r="230" ht="15.75" customHeight="1">
      <c r="G230" s="1"/>
    </row>
    <row r="231" ht="15.75" customHeight="1">
      <c r="G231" s="1"/>
    </row>
    <row r="232" ht="15.75" customHeight="1">
      <c r="G232" s="1"/>
    </row>
    <row r="233" ht="15.75" customHeight="1">
      <c r="G233" s="1"/>
    </row>
    <row r="234" ht="15.75" customHeight="1">
      <c r="G234" s="1"/>
    </row>
    <row r="235" ht="15.75" customHeight="1">
      <c r="G235" s="1"/>
    </row>
    <row r="236" ht="15.75" customHeight="1">
      <c r="G236" s="1"/>
    </row>
    <row r="237" ht="15.75" customHeight="1">
      <c r="G237" s="1"/>
    </row>
    <row r="238" ht="15.75" customHeight="1">
      <c r="G238" s="1"/>
    </row>
    <row r="239" ht="15.75" customHeight="1">
      <c r="G239" s="1"/>
    </row>
    <row r="240" ht="15.75" customHeight="1">
      <c r="G240" s="1"/>
    </row>
    <row r="241" ht="15.75" customHeight="1">
      <c r="G241" s="1"/>
    </row>
    <row r="242" ht="15.75" customHeight="1">
      <c r="G242" s="1"/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34:C34"/>
    <mergeCell ref="E34:F34"/>
    <mergeCell ref="B2:U2"/>
    <mergeCell ref="B6:C6"/>
    <mergeCell ref="E6:F6"/>
    <mergeCell ref="B10:C10"/>
    <mergeCell ref="E10:F10"/>
    <mergeCell ref="B25:C25"/>
    <mergeCell ref="E25:F2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